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15" windowWidth="15330" windowHeight="4305" activeTab="0"/>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 name="Sheet1" sheetId="9" state="hidden" r:id="rId9"/>
  </sheets>
  <definedNames>
    <definedName name="_xlnm.Print_Area" localSheetId="2">'BS'!$A$1:$G$58</definedName>
    <definedName name="_xlnm.Print_Area" localSheetId="5">'Cash Flow'!$A$1:$I$65</definedName>
    <definedName name="_xlnm.Print_Area" localSheetId="4">'Equity'!$A$1:$J$70</definedName>
    <definedName name="_xlnm.Print_Area" localSheetId="6">'Notes-A'!$A$1:$H$231</definedName>
    <definedName name="_xlnm.Print_Area" localSheetId="7">'Notes-B'!$A$1:$I$421</definedName>
    <definedName name="_xlnm.Print_Area" localSheetId="1">'PL'!$A$1:$H$62</definedName>
  </definedNames>
  <calcPr fullCalcOnLoad="1"/>
</workbook>
</file>

<file path=xl/comments7.xml><?xml version="1.0" encoding="utf-8"?>
<comments xmlns="http://schemas.openxmlformats.org/spreadsheetml/2006/main">
  <authors>
    <author>Kementerian Pendidikan</author>
    <author>elaineong</author>
  </authors>
  <commentList>
    <comment ref="H198" authorId="0">
      <text>
        <r>
          <rPr>
            <sz val="8"/>
            <rFont val="Tahoma"/>
            <family val="0"/>
          </rPr>
          <t xml:space="preserve">Planet: USD221,548 - USD95775-USD15173-USD15000-USD15000-USD23200 @ 3.4735
</t>
        </r>
      </text>
    </comment>
    <comment ref="H199" authorId="1">
      <text>
        <r>
          <rPr>
            <sz val="8"/>
            <rFont val="Tahoma"/>
            <family val="2"/>
          </rPr>
          <t xml:space="preserve">Ariantec RM5.4m-RM540k-RM610K, Adprima RM162,500-RM162,500, Securetrax SGD500k-SGD25K-SG25K-SG200K-SG125K@2.2593, Unilink RM13,824,884
</t>
        </r>
        <r>
          <rPr>
            <b/>
            <sz val="8"/>
            <rFont val="Tahoma"/>
            <family val="0"/>
          </rPr>
          <t xml:space="preserve">
</t>
        </r>
        <r>
          <rPr>
            <sz val="8"/>
            <rFont val="Tahoma"/>
            <family val="0"/>
          </rPr>
          <t xml:space="preserve">
</t>
        </r>
      </text>
    </comment>
  </commentList>
</comments>
</file>

<file path=xl/comments8.xml><?xml version="1.0" encoding="utf-8"?>
<comments xmlns="http://schemas.openxmlformats.org/spreadsheetml/2006/main">
  <authors>
    <author>junechun</author>
  </authors>
  <commentList>
    <comment ref="I309" authorId="0">
      <text>
        <r>
          <rPr>
            <b/>
            <sz val="10"/>
            <rFont val="Tahoma"/>
            <family val="0"/>
          </rPr>
          <t>yytan:</t>
        </r>
        <r>
          <rPr>
            <sz val="10"/>
            <rFont val="Tahoma"/>
            <family val="0"/>
          </rPr>
          <t xml:space="preserve">
RMB3,000,000@2.2043
=1,360,976
</t>
        </r>
      </text>
    </comment>
  </commentList>
</comments>
</file>

<file path=xl/sharedStrings.xml><?xml version="1.0" encoding="utf-8"?>
<sst xmlns="http://schemas.openxmlformats.org/spreadsheetml/2006/main" count="559" uniqueCount="339">
  <si>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</si>
  <si>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</si>
  <si>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</si>
  <si>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</si>
  <si>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</si>
  <si>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</si>
  <si>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</si>
  <si>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</si>
  <si>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</si>
  <si>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</si>
  <si>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</si>
  <si>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</si>
  <si>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</si>
  <si>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</si>
  <si>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</si>
  <si>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</si>
  <si>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</si>
  <si>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</si>
  <si>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</si>
  <si>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</si>
  <si>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</si>
  <si>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</si>
  <si>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</si>
  <si>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</si>
  <si>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</si>
  <si>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</si>
  <si>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</si>
  <si>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</si>
  <si>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</si>
  <si>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</si>
  <si>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</si>
  <si>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</si>
  <si>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</si>
  <si>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</si>
  <si>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</si>
  <si>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</si>
  <si>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</si>
  <si>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Debt and equity securities</t>
  </si>
  <si>
    <t>Current year prospects</t>
  </si>
  <si>
    <t>Off Balance Sheet financial instruments</t>
  </si>
  <si>
    <t>Changes in material litigation</t>
  </si>
  <si>
    <t>Earnings per share</t>
  </si>
  <si>
    <t>Performance Review</t>
  </si>
  <si>
    <t>Profit forecast or profit guarantee</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</si>
  <si>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</si>
  <si>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</si>
  <si>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</si>
  <si>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</si>
  <si>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</si>
  <si>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</si>
  <si>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</si>
  <si>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</si>
  <si>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</si>
  <si>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</si>
  <si>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</si>
  <si>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</si>
  <si>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</si>
  <si>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</si>
  <si>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</si>
  <si>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</si>
  <si>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</si>
  <si>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</si>
  <si>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</si>
  <si>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</si>
  <si>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</si>
  <si>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</si>
  <si>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</si>
  <si>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</si>
  <si>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</si>
  <si>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</si>
  <si>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</si>
  <si>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</si>
  <si>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</si>
  <si>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</si>
  <si>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</si>
  <si>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</si>
  <si>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</si>
  <si>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</si>
  <si>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Capital commitments</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</si>
  <si>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</si>
  <si>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</si>
  <si>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</si>
  <si>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</si>
  <si>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</si>
  <si>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</si>
  <si>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</si>
  <si>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</si>
  <si>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</si>
  <si>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</si>
  <si>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</si>
  <si>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</si>
  <si>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</si>
  <si>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</si>
  <si>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</si>
  <si>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</si>
  <si>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</si>
  <si>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</si>
  <si>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</si>
  <si>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</si>
  <si>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</si>
  <si>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</si>
  <si>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</si>
  <si>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</si>
  <si>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Rental receivable from MCSB</t>
  </si>
  <si>
    <t>Premium</t>
  </si>
  <si>
    <t>31.3.2004</t>
  </si>
  <si>
    <t>`</t>
  </si>
  <si>
    <t>31.03.2003</t>
  </si>
  <si>
    <t xml:space="preserve">Accounting fee receivable from Metronic Corporation Sdn Bhd </t>
  </si>
  <si>
    <t>("MCSB"),  a substantial shareholder of the Company</t>
  </si>
  <si>
    <t>Corporate proposals</t>
  </si>
  <si>
    <t>(a) Status of corporate proposals</t>
  </si>
  <si>
    <t xml:space="preserve">Proposed </t>
  </si>
  <si>
    <t>Utilisation</t>
  </si>
  <si>
    <t>Repayment of bank borrowings</t>
  </si>
  <si>
    <t>R&amp;D expenditure</t>
  </si>
  <si>
    <t>Working capital</t>
  </si>
  <si>
    <t>Estimated listing expenses</t>
  </si>
  <si>
    <t>Deferred tax expense</t>
  </si>
  <si>
    <t xml:space="preserve">Contract  and maintenance revenue receivable from MH Projects </t>
  </si>
  <si>
    <t>Authorisation for issue</t>
  </si>
  <si>
    <t>Cumulative quarter</t>
  </si>
  <si>
    <t>30.6.2004</t>
  </si>
  <si>
    <t xml:space="preserve">Sdn Bhd ("MHP"), a common director related company </t>
  </si>
  <si>
    <t>Share premium</t>
  </si>
  <si>
    <t>Qualification of audit report of the preceding annual financial statements</t>
  </si>
  <si>
    <t>Material subsequent events</t>
  </si>
  <si>
    <t>Short term deposits</t>
  </si>
  <si>
    <t>Net profit for the period</t>
  </si>
  <si>
    <t>Other investments</t>
  </si>
  <si>
    <t>Bank overdrafts (included within short term borrowings)</t>
  </si>
  <si>
    <t>15.</t>
  </si>
  <si>
    <t xml:space="preserve">Individual quarter </t>
  </si>
  <si>
    <t>(Audited)</t>
  </si>
  <si>
    <t xml:space="preserve">Retained profits </t>
  </si>
  <si>
    <t>At cost</t>
  </si>
  <si>
    <t>At carrying value</t>
  </si>
  <si>
    <t>At market value</t>
  </si>
  <si>
    <t>Shareholders' equity</t>
  </si>
  <si>
    <t>Income tax expense:</t>
  </si>
  <si>
    <t>Malaysian income tax</t>
  </si>
  <si>
    <t>(a)</t>
  </si>
  <si>
    <t>(b)</t>
  </si>
  <si>
    <t>31.12.2005</t>
  </si>
  <si>
    <t>Reserve</t>
  </si>
  <si>
    <t>Currency translation differences</t>
  </si>
  <si>
    <t>Deposits at call</t>
  </si>
  <si>
    <t>Development costs</t>
  </si>
  <si>
    <t>31.03.2006</t>
  </si>
  <si>
    <t>AS AT 31 MARCH 2006</t>
  </si>
  <si>
    <t>NON CURRENT ASSETS</t>
  </si>
  <si>
    <t>Investment properties</t>
  </si>
  <si>
    <t>ASSETS</t>
  </si>
  <si>
    <t>EQUITY AND LIABILITIES</t>
  </si>
  <si>
    <t>TOTAL EQUITY AND LIABILITIES</t>
  </si>
  <si>
    <t>TOTAL ASSETS</t>
  </si>
  <si>
    <t>TOTAL LIABILITIES</t>
  </si>
  <si>
    <t>Changes in accounting policies</t>
  </si>
  <si>
    <t xml:space="preserve">Dividends </t>
  </si>
  <si>
    <t>14.</t>
  </si>
  <si>
    <t>29.</t>
  </si>
  <si>
    <t>NET CURRENT ASSETS</t>
  </si>
  <si>
    <t>FINANCED BY:</t>
  </si>
  <si>
    <t>As at 1 January 2006</t>
  </si>
  <si>
    <t>Exchange</t>
  </si>
  <si>
    <t>Exchange reserve</t>
  </si>
  <si>
    <t>(c)</t>
  </si>
  <si>
    <t>Intangeible Asset</t>
  </si>
  <si>
    <t>Intangible assets</t>
  </si>
  <si>
    <t>Corporate proposals (cont'd)</t>
  </si>
  <si>
    <t>(a) Status of corporate proposals (cont'd)</t>
  </si>
  <si>
    <t>CONDENSED CONSOLIDATED INCOME STATEMENTS</t>
  </si>
  <si>
    <t>Cash and cash equivalents at end of the period</t>
  </si>
  <si>
    <t>Purpose of proceeds</t>
  </si>
  <si>
    <t>(b) Status of utilisation of proceeds</t>
  </si>
  <si>
    <t xml:space="preserve"> </t>
  </si>
  <si>
    <t>Minority interest</t>
  </si>
  <si>
    <t>TOTAL EQUITY</t>
  </si>
  <si>
    <t>Equity holders of the parent</t>
  </si>
  <si>
    <t>Attributable to:</t>
  </si>
  <si>
    <t>%</t>
  </si>
  <si>
    <t>Fully Utilised</t>
  </si>
  <si>
    <t>Renminbi</t>
  </si>
  <si>
    <t>-</t>
  </si>
  <si>
    <t>NON CURRENT LIABILITIES</t>
  </si>
  <si>
    <t>Cash and cash equivalents at the balance sheet date comprise the following:</t>
  </si>
  <si>
    <t>Bank overdraft</t>
  </si>
  <si>
    <t>Bankers' acceptances and trust receipts</t>
  </si>
  <si>
    <t xml:space="preserve">Revolving credit </t>
  </si>
  <si>
    <t>RMB</t>
  </si>
  <si>
    <t>RM equivalent</t>
  </si>
  <si>
    <t>Administration expenses</t>
  </si>
  <si>
    <t>Equity attributable to equity holders of the parent</t>
  </si>
  <si>
    <t>Profits</t>
  </si>
  <si>
    <t xml:space="preserve">Retained </t>
  </si>
  <si>
    <t>.</t>
  </si>
  <si>
    <t>Contingent liability</t>
  </si>
  <si>
    <t xml:space="preserve">Attributable to Equity Holders of the Parent </t>
  </si>
  <si>
    <t>Minority</t>
  </si>
  <si>
    <t>Interest</t>
  </si>
  <si>
    <t xml:space="preserve">Total </t>
  </si>
  <si>
    <t>Equity</t>
  </si>
  <si>
    <t>Explanation</t>
  </si>
  <si>
    <t>Actual</t>
  </si>
  <si>
    <t>Accounting fee receivable from ITG</t>
  </si>
  <si>
    <t>Rental receivable from ITG</t>
  </si>
  <si>
    <t>in which a director has interest</t>
  </si>
  <si>
    <t xml:space="preserve">Purchases from ITG Worldwide (M) Sdn Bhd ("ITG"), a company </t>
  </si>
  <si>
    <t>Deviation / Balance</t>
  </si>
  <si>
    <t>31.12.2006</t>
  </si>
  <si>
    <t>FOR THE QUARTER ENDED</t>
  </si>
  <si>
    <t>(ii) Cooperation agreement with FEELingK Co., Ltd</t>
  </si>
  <si>
    <t>(iii) Deed of partnership in the Emirate of Dubai</t>
  </si>
  <si>
    <t>(iv)</t>
  </si>
  <si>
    <t>Intended</t>
  </si>
  <si>
    <t>Timeframe for</t>
  </si>
  <si>
    <t>expansion</t>
  </si>
  <si>
    <t xml:space="preserve">Capital expenditure for office </t>
  </si>
  <si>
    <t>1 year</t>
  </si>
  <si>
    <t xml:space="preserve">3 years </t>
  </si>
  <si>
    <t>As at 1 January 2007</t>
  </si>
  <si>
    <t xml:space="preserve">    Finance cost</t>
  </si>
  <si>
    <t xml:space="preserve">    Profit before tax</t>
  </si>
  <si>
    <t>FRS 117</t>
  </si>
  <si>
    <t>FRS 124</t>
  </si>
  <si>
    <t>Leases</t>
  </si>
  <si>
    <t>Related Party Disclosures</t>
  </si>
  <si>
    <t>(Restated)</t>
  </si>
  <si>
    <t>Profit before taxation</t>
  </si>
  <si>
    <t>Hire purchase payables</t>
  </si>
  <si>
    <t>Profit for the period</t>
  </si>
  <si>
    <t>Maintenance revenue receivable from Integrated Commerce (M) Sdn Bhd</t>
  </si>
  <si>
    <t>Segment revenue</t>
  </si>
  <si>
    <t>Segment results</t>
  </si>
  <si>
    <t xml:space="preserve">    Malaysia</t>
  </si>
  <si>
    <t xml:space="preserve">    Overseas</t>
  </si>
  <si>
    <t xml:space="preserve">    Elimination of inter-segment sales</t>
  </si>
  <si>
    <t xml:space="preserve">    Total revenue </t>
  </si>
  <si>
    <t xml:space="preserve">    Total segment results</t>
  </si>
  <si>
    <t>(a) Acquisition of Adprima Sdn Bhd</t>
  </si>
  <si>
    <t xml:space="preserve">RM </t>
  </si>
  <si>
    <t xml:space="preserve">Corporate guarantees issued to a financial institution in respect of </t>
  </si>
  <si>
    <t>Approved and contracted for:</t>
  </si>
  <si>
    <t xml:space="preserve">  - Research and development expenditure</t>
  </si>
  <si>
    <t xml:space="preserve">  - Investment in subsidiaries and associates</t>
  </si>
  <si>
    <t>Profit attributable to ordinary equity holders of the parent (RM)</t>
  </si>
  <si>
    <t>Changes in material litigation (cont'd)</t>
  </si>
  <si>
    <t>Short term borrowings denominated in foreign currency:</t>
  </si>
  <si>
    <t>30 JUNE 2007</t>
  </si>
  <si>
    <t>FOR THE SECOND QUARTER ENDED 30 JUNE 2007</t>
  </si>
  <si>
    <t>30.06.2007</t>
  </si>
  <si>
    <t>30.06.2006</t>
  </si>
  <si>
    <t>AS AT 30 JUNE 2007</t>
  </si>
  <si>
    <t>FOR THE SIX-MONTH PERIOD ENDED 30 JUNE 2007</t>
  </si>
  <si>
    <t>As at 30 June 2006</t>
  </si>
  <si>
    <t>Acquisition and subscription of shares in</t>
  </si>
  <si>
    <t>subsidiary by minority shareholder</t>
  </si>
  <si>
    <t>Final dividend payable</t>
  </si>
  <si>
    <t>As at 30 June 2007</t>
  </si>
  <si>
    <t>6 months ended</t>
  </si>
  <si>
    <t>Significant related party transactions of the Group for the quarter ended 30 June 2007 are as follows:</t>
  </si>
  <si>
    <t>credit facilities granted to subsidiaries</t>
  </si>
  <si>
    <t xml:space="preserve">SEGMENTING REPORT </t>
  </si>
  <si>
    <t>For year 2007</t>
  </si>
  <si>
    <t>Oversea</t>
  </si>
  <si>
    <t>TOTAL</t>
  </si>
  <si>
    <t>MGB</t>
  </si>
  <si>
    <t>MESB</t>
  </si>
  <si>
    <t>MISSB</t>
  </si>
  <si>
    <t>ICARES</t>
  </si>
  <si>
    <t>FEELINGK</t>
  </si>
  <si>
    <t>TREND GATE</t>
  </si>
  <si>
    <t>MMBCL</t>
  </si>
  <si>
    <t>MEPL</t>
  </si>
  <si>
    <t>MAPL</t>
  </si>
  <si>
    <t>Elimination</t>
  </si>
  <si>
    <t>M'sia</t>
  </si>
  <si>
    <t>Vietnam</t>
  </si>
  <si>
    <t>Sales to external customers</t>
  </si>
  <si>
    <t xml:space="preserve">    Project</t>
  </si>
  <si>
    <t xml:space="preserve">    Trading + maintenance</t>
  </si>
  <si>
    <t>Inter-segment sales</t>
  </si>
  <si>
    <t>Result</t>
  </si>
  <si>
    <t>Segment result</t>
  </si>
  <si>
    <t>Unallocated expenses</t>
  </si>
  <si>
    <t xml:space="preserve">    Finance Cost</t>
  </si>
  <si>
    <t>PBT</t>
  </si>
  <si>
    <t>Income tax expenses</t>
  </si>
  <si>
    <t>Net profit/(loss) for the year</t>
  </si>
  <si>
    <t>Assets</t>
  </si>
  <si>
    <t>Segment Assets</t>
  </si>
  <si>
    <t xml:space="preserve">    Fixed asset</t>
  </si>
  <si>
    <t xml:space="preserve">    Current asset</t>
  </si>
  <si>
    <t>Liabilitites</t>
  </si>
  <si>
    <t>Segment Liabilities</t>
  </si>
  <si>
    <t xml:space="preserve">    Current liabilities</t>
  </si>
  <si>
    <t xml:space="preserve">    Non current liabilities</t>
  </si>
  <si>
    <t>Other Segment Information</t>
  </si>
  <si>
    <t>Capital Expenditure</t>
  </si>
  <si>
    <t xml:space="preserve">    PPE</t>
  </si>
  <si>
    <t xml:space="preserve">    Intangible Assets</t>
  </si>
  <si>
    <t xml:space="preserve">    Investment Properties</t>
  </si>
  <si>
    <t>Depreciation</t>
  </si>
  <si>
    <t>Amortisation</t>
  </si>
  <si>
    <t>Impairment losses recognised in P&amp;L (FA)</t>
  </si>
  <si>
    <t>Reversal of impairment losses (Shares)</t>
  </si>
  <si>
    <t>Other significant non-cash expenses</t>
  </si>
  <si>
    <t xml:space="preserve">   Provisions</t>
  </si>
  <si>
    <t>For year 2006</t>
  </si>
  <si>
    <t>(v)</t>
  </si>
  <si>
    <t>(b) Acquisition of Securetrax Solutions Pte Ltd</t>
  </si>
  <si>
    <t>(a) Investments in quoted securities as at 30 June 2007 are as follows:</t>
  </si>
  <si>
    <t xml:space="preserve">    Total revenue including </t>
  </si>
  <si>
    <t xml:space="preserve">       inter-segment sales</t>
  </si>
  <si>
    <t>(c) Acquisition of Unilink Development Limited</t>
  </si>
  <si>
    <t>(d) Acquisition of HK Broadway Electronics Company Limited</t>
  </si>
  <si>
    <t>Expected to be utilised by 24 November 2007</t>
  </si>
  <si>
    <t>(a) Increase in authorised share capital</t>
  </si>
  <si>
    <t>(b) Ordinary shares issued for acquisition of associate</t>
  </si>
  <si>
    <t>(c) Ordinary shares issued for acquisition of subsidiary</t>
  </si>
  <si>
    <t>(d) Ordinary shares issued for private placement</t>
  </si>
  <si>
    <t>(a) Bonus issue</t>
  </si>
  <si>
    <t>Share of profit of associates</t>
  </si>
  <si>
    <t>Investment in associates</t>
  </si>
  <si>
    <t>Vietnam &amp; Saudi</t>
  </si>
  <si>
    <t>ADPRIMA</t>
  </si>
  <si>
    <t>Associates</t>
  </si>
  <si>
    <t>Securetrax</t>
  </si>
  <si>
    <t>Bank overdraft (Note 24)</t>
  </si>
  <si>
    <t>Issue of ordinary shares:</t>
  </si>
  <si>
    <t>pursuant to private placement</t>
  </si>
  <si>
    <t xml:space="preserve">pursuant to acquisition of subsidiary </t>
  </si>
  <si>
    <t>Changes in contingent liabilities and contingent assets</t>
  </si>
  <si>
    <t>Underprovision of income tax in prior years</t>
  </si>
  <si>
    <t xml:space="preserve">   and associate</t>
  </si>
  <si>
    <t>Transaction costs</t>
  </si>
  <si>
    <t>subsidiaries by minority shareholders</t>
  </si>
  <si>
    <t>(b) Acquisition of Ariantec Sdn Bhd</t>
  </si>
  <si>
    <t>Changes in the composition of the Group (cont'd)</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</si>
</sst>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 numFmtId="203" formatCode="#,##0_);[Red]\(#,##0\);\-"/>
    <numFmt numFmtId="204" formatCode="_(* #,##0.00_);_(* \(#,##0.00\);_(* &quot;-&quot;_);_(@_)"/>
  </numFmts>
  <fonts count="27">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0"/>
      <color indexed="53"/>
      <name val="Arial"/>
      <family val="2"/>
    </font>
    <font>
      <sz val="10"/>
      <color indexed="53"/>
      <name val="Arial"/>
      <family val="2"/>
    </font>
    <font>
      <sz val="8"/>
      <name val="Tahoma"/>
      <family val="0"/>
    </font>
    <font>
      <sz val="10"/>
      <name val="Tahoma"/>
      <family val="0"/>
    </font>
    <font>
      <b/>
      <sz val="10"/>
      <name val="Tahoma"/>
      <family val="0"/>
    </font>
    <font>
      <b/>
      <sz val="10"/>
      <color indexed="10"/>
      <name val="Arial"/>
      <family val="2"/>
    </font>
    <font>
      <b/>
      <sz val="8"/>
      <name val="Tahoma"/>
      <family val="0"/>
    </font>
    <font>
      <i/>
      <sz val="10"/>
      <name val="Arial"/>
      <family val="2"/>
    </font>
    <font>
      <b/>
      <sz val="10"/>
      <name val="Times New Roman"/>
      <family val="1"/>
    </font>
    <font>
      <sz val="12"/>
      <name val="Times New Roman"/>
      <family val="1"/>
    </font>
    <font>
      <sz val="10"/>
      <name val="Times New Roman"/>
      <family val="1"/>
    </font>
    <font>
      <b/>
      <i/>
      <sz val="10"/>
      <name val="Times New Roman"/>
      <family val="1"/>
    </font>
    <font>
      <sz val="12"/>
      <name val="Garamond"/>
      <family val="1"/>
    </font>
    <font>
      <sz val="9"/>
      <name val="Arial"/>
      <family val="2"/>
    </font>
    <font>
      <b/>
      <sz val="9"/>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38" fontId="20" fillId="0" borderId="0">
      <alignment/>
      <protection/>
    </xf>
    <xf numFmtId="0" fontId="2" fillId="0" borderId="0">
      <alignment/>
      <protection/>
    </xf>
    <xf numFmtId="0" fontId="23" fillId="0" borderId="0">
      <alignment/>
      <protection/>
    </xf>
    <xf numFmtId="9" fontId="0" fillId="0" borderId="0" applyFont="0" applyFill="0" applyBorder="0" applyAlignment="0" applyProtection="0"/>
  </cellStyleXfs>
  <cellXfs count="212">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2"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22"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85" fontId="0" fillId="0" borderId="0" xfId="15" applyNumberFormat="1" applyFont="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177" fontId="0" fillId="0" borderId="0" xfId="15"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185" fontId="0" fillId="0" borderId="0" xfId="15" applyNumberFormat="1" applyFont="1" applyAlignment="1" quotePrefix="1">
      <alignment horizontal="left"/>
    </xf>
    <xf numFmtId="0" fontId="1"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0" applyNumberFormat="1" applyFont="1" applyFill="1" applyBorder="1" applyAlignment="1">
      <alignment/>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85" fontId="3" fillId="0" borderId="0" xfId="15" applyNumberFormat="1" applyFont="1" applyAlignment="1">
      <alignment/>
    </xf>
    <xf numFmtId="177" fontId="0" fillId="0" borderId="0" xfId="15" applyNumberFormat="1" applyFont="1" applyAlignment="1">
      <alignment horizontal="center"/>
    </xf>
    <xf numFmtId="177"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77" fontId="0" fillId="0" borderId="0" xfId="15" applyNumberFormat="1" applyFont="1" applyAlignment="1">
      <alignment horizontal="right"/>
    </xf>
    <xf numFmtId="0" fontId="3" fillId="0" borderId="0" xfId="0" applyFont="1" applyFill="1" applyAlignment="1">
      <alignment/>
    </xf>
    <xf numFmtId="185" fontId="3" fillId="0" borderId="0" xfId="15" applyNumberFormat="1" applyFont="1" applyAlignment="1">
      <alignment/>
    </xf>
    <xf numFmtId="185" fontId="0" fillId="0" borderId="0" xfId="15" applyNumberFormat="1" applyBorder="1" applyAlignment="1">
      <alignment/>
    </xf>
    <xf numFmtId="0" fontId="0" fillId="0" borderId="0" xfId="0" applyNumberFormat="1" applyFont="1" applyAlignment="1">
      <alignment/>
    </xf>
    <xf numFmtId="177" fontId="0" fillId="0" borderId="0" xfId="15" applyFont="1" applyBorder="1" applyAlignment="1">
      <alignment/>
    </xf>
    <xf numFmtId="185" fontId="0" fillId="0" borderId="0" xfId="0" applyNumberFormat="1" applyFont="1" applyAlignment="1">
      <alignment/>
    </xf>
    <xf numFmtId="10" fontId="0" fillId="0" borderId="0" xfId="24" applyNumberFormat="1" applyFont="1" applyAlignment="1">
      <alignment/>
    </xf>
    <xf numFmtId="0" fontId="1" fillId="0" borderId="0" xfId="0" applyFont="1" applyFill="1" applyAlignment="1">
      <alignment horizontal="center"/>
    </xf>
    <xf numFmtId="185" fontId="0" fillId="0" borderId="6" xfId="15" applyNumberFormat="1" applyFont="1" applyBorder="1" applyAlignment="1">
      <alignment/>
    </xf>
    <xf numFmtId="185" fontId="0" fillId="0" borderId="1" xfId="15" applyNumberFormat="1" applyFont="1" applyBorder="1" applyAlignment="1">
      <alignment horizontal="center"/>
    </xf>
    <xf numFmtId="0" fontId="0" fillId="0" borderId="1" xfId="0" applyFont="1" applyBorder="1" applyAlignment="1">
      <alignment/>
    </xf>
    <xf numFmtId="185" fontId="0" fillId="0" borderId="0" xfId="0" applyNumberFormat="1" applyFont="1" applyAlignment="1">
      <alignment horizontal="left" vertical="top"/>
    </xf>
    <xf numFmtId="185" fontId="0" fillId="0" borderId="0" xfId="15" applyNumberFormat="1" applyFont="1" applyFill="1" applyAlignment="1">
      <alignment horizontal="left" vertical="top"/>
    </xf>
    <xf numFmtId="185" fontId="0" fillId="0" borderId="0" xfId="15" applyNumberFormat="1" applyFont="1" applyAlignment="1" quotePrefix="1">
      <alignment horizontal="left" vertical="top"/>
    </xf>
    <xf numFmtId="0" fontId="0" fillId="0" borderId="0" xfId="0" applyFont="1" applyBorder="1" applyAlignment="1">
      <alignment horizontal="left" vertical="top"/>
    </xf>
    <xf numFmtId="201" fontId="0" fillId="0" borderId="0" xfId="0" applyNumberFormat="1" applyFont="1" applyAlignment="1">
      <alignment vertical="top" wrapText="1"/>
    </xf>
    <xf numFmtId="0" fontId="0" fillId="0" borderId="0" xfId="0" applyNumberFormat="1" applyFont="1" applyBorder="1" applyAlignment="1">
      <alignment horizontal="left"/>
    </xf>
    <xf numFmtId="185" fontId="1" fillId="0" borderId="0" xfId="15" applyNumberFormat="1" applyFont="1" applyBorder="1" applyAlignment="1">
      <alignment horizontal="center"/>
    </xf>
    <xf numFmtId="185" fontId="0" fillId="0" borderId="5" xfId="15" applyNumberFormat="1" applyFont="1" applyBorder="1" applyAlignment="1">
      <alignment/>
    </xf>
    <xf numFmtId="185" fontId="0" fillId="0" borderId="7" xfId="15" applyNumberFormat="1" applyFont="1" applyBorder="1" applyAlignment="1">
      <alignment/>
    </xf>
    <xf numFmtId="185" fontId="0" fillId="0" borderId="5" xfId="15" applyNumberFormat="1" applyFont="1" applyFill="1" applyBorder="1" applyAlignment="1">
      <alignment/>
    </xf>
    <xf numFmtId="177" fontId="0" fillId="0" borderId="5" xfId="15" applyFont="1" applyBorder="1" applyAlignment="1">
      <alignment horizontal="center"/>
    </xf>
    <xf numFmtId="0" fontId="1" fillId="0" borderId="0" xfId="22"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185" fontId="0" fillId="0" borderId="7" xfId="15" applyNumberFormat="1" applyFont="1" applyBorder="1" applyAlignment="1">
      <alignment horizontal="left"/>
    </xf>
    <xf numFmtId="185" fontId="0" fillId="0" borderId="7" xfId="15" applyNumberFormat="1" applyFont="1" applyBorder="1" applyAlignment="1" quotePrefix="1">
      <alignment horizontal="left"/>
    </xf>
    <xf numFmtId="0" fontId="0" fillId="0" borderId="7" xfId="0" applyFont="1" applyBorder="1" applyAlignment="1">
      <alignment/>
    </xf>
    <xf numFmtId="185" fontId="1" fillId="0" borderId="0" xfId="15" applyNumberFormat="1" applyFont="1" applyAlignment="1" quotePrefix="1">
      <alignment horizontal="center"/>
    </xf>
    <xf numFmtId="0" fontId="0" fillId="0" borderId="0" xfId="0" applyNumberFormat="1" applyFont="1" applyAlignment="1">
      <alignment/>
    </xf>
    <xf numFmtId="185" fontId="0" fillId="0" borderId="0" xfId="15" applyNumberFormat="1" applyFont="1" applyFill="1" applyAlignment="1">
      <alignment/>
    </xf>
    <xf numFmtId="0" fontId="0" fillId="0" borderId="0" xfId="0" applyFill="1" applyAlignment="1">
      <alignment/>
    </xf>
    <xf numFmtId="185" fontId="0" fillId="0" borderId="0" xfId="15" applyNumberFormat="1" applyFill="1" applyAlignment="1">
      <alignment/>
    </xf>
    <xf numFmtId="185" fontId="0" fillId="0" borderId="4" xfId="0" applyNumberFormat="1" applyBorder="1" applyAlignment="1">
      <alignment/>
    </xf>
    <xf numFmtId="185" fontId="0" fillId="0" borderId="0" xfId="15" applyNumberFormat="1" applyFont="1" applyFill="1" applyBorder="1" applyAlignment="1">
      <alignment/>
    </xf>
    <xf numFmtId="201" fontId="0" fillId="0" borderId="0" xfId="0" applyNumberFormat="1" applyFont="1" applyAlignment="1">
      <alignment horizontal="center" vertical="top" wrapText="1"/>
    </xf>
    <xf numFmtId="185" fontId="3" fillId="0" borderId="0" xfId="15" applyNumberFormat="1" applyFont="1" applyBorder="1" applyAlignment="1">
      <alignment/>
    </xf>
    <xf numFmtId="185" fontId="0" fillId="0" borderId="7" xfId="15" applyNumberFormat="1" applyFont="1" applyBorder="1" applyAlignment="1">
      <alignment horizontal="center"/>
    </xf>
    <xf numFmtId="177" fontId="0" fillId="0" borderId="0" xfId="15" applyFont="1" applyBorder="1" applyAlignment="1">
      <alignment horizontal="center"/>
    </xf>
    <xf numFmtId="0" fontId="16" fillId="0" borderId="0" xfId="0" applyFont="1" applyBorder="1" applyAlignment="1">
      <alignment horizontal="left"/>
    </xf>
    <xf numFmtId="185" fontId="0" fillId="0" borderId="0" xfId="15" applyNumberFormat="1" applyFont="1" applyBorder="1" applyAlignment="1" quotePrefix="1">
      <alignment horizontal="left"/>
    </xf>
    <xf numFmtId="185" fontId="0" fillId="0" borderId="0" xfId="15" applyNumberFormat="1" applyFont="1" applyFill="1" applyBorder="1" applyAlignment="1">
      <alignment/>
    </xf>
    <xf numFmtId="185" fontId="0" fillId="0" borderId="0" xfId="15" applyNumberFormat="1" applyFont="1" applyFill="1" applyBorder="1" applyAlignment="1">
      <alignment horizontal="center"/>
    </xf>
    <xf numFmtId="0" fontId="1" fillId="0" borderId="0" xfId="0" applyNumberFormat="1" applyFont="1" applyFill="1" applyAlignment="1">
      <alignment horizontal="center"/>
    </xf>
    <xf numFmtId="0" fontId="1" fillId="0" borderId="0" xfId="0" applyFont="1" applyAlignment="1">
      <alignment horizontal="right"/>
    </xf>
    <xf numFmtId="0" fontId="1" fillId="0" borderId="0" xfId="0" applyNumberFormat="1" applyFont="1" applyFill="1" applyAlignment="1">
      <alignment horizontal="right"/>
    </xf>
    <xf numFmtId="0" fontId="0" fillId="0" borderId="0" xfId="0" applyFont="1" applyFill="1" applyBorder="1" applyAlignment="1" quotePrefix="1">
      <alignment/>
    </xf>
    <xf numFmtId="185" fontId="0" fillId="0" borderId="7" xfId="15" applyNumberFormat="1" applyFont="1" applyBorder="1" applyAlignment="1">
      <alignment/>
    </xf>
    <xf numFmtId="0" fontId="0" fillId="0" borderId="0" xfId="0" applyNumberFormat="1" applyFont="1" applyAlignment="1">
      <alignment horizontal="left"/>
    </xf>
    <xf numFmtId="0" fontId="16" fillId="0" borderId="0" xfId="0" applyFont="1" applyBorder="1" applyAlignment="1">
      <alignment/>
    </xf>
    <xf numFmtId="0" fontId="0" fillId="0" borderId="0" xfId="0" applyFont="1" applyAlignment="1">
      <alignment/>
    </xf>
    <xf numFmtId="0" fontId="0" fillId="2" borderId="0" xfId="0" applyFont="1" applyFill="1" applyAlignment="1">
      <alignment/>
    </xf>
    <xf numFmtId="203" fontId="19" fillId="0" borderId="0" xfId="21" applyNumberFormat="1" applyFont="1">
      <alignment/>
      <protection/>
    </xf>
    <xf numFmtId="203" fontId="21" fillId="0" borderId="0" xfId="21" applyNumberFormat="1" applyFont="1">
      <alignment/>
      <protection/>
    </xf>
    <xf numFmtId="177" fontId="21" fillId="0" borderId="0" xfId="15" applyFont="1" applyAlignment="1">
      <alignment/>
    </xf>
    <xf numFmtId="177" fontId="21" fillId="0" borderId="0" xfId="15" applyFont="1" applyBorder="1" applyAlignment="1">
      <alignment/>
    </xf>
    <xf numFmtId="177" fontId="21" fillId="2" borderId="0" xfId="15" applyFont="1" applyFill="1" applyBorder="1" applyAlignment="1">
      <alignment/>
    </xf>
    <xf numFmtId="0" fontId="21" fillId="0" borderId="0" xfId="0" applyFont="1" applyBorder="1" applyAlignment="1">
      <alignment/>
    </xf>
    <xf numFmtId="0" fontId="21" fillId="0" borderId="0" xfId="0" applyFont="1" applyAlignment="1">
      <alignment/>
    </xf>
    <xf numFmtId="177" fontId="22" fillId="3" borderId="0" xfId="15" applyFont="1" applyFill="1" applyBorder="1" applyAlignment="1">
      <alignment horizontal="center"/>
    </xf>
    <xf numFmtId="38" fontId="21" fillId="0" borderId="0" xfId="23" applyNumberFormat="1" applyFont="1">
      <alignment/>
      <protection/>
    </xf>
    <xf numFmtId="177" fontId="19" fillId="4" borderId="0" xfId="15" applyFont="1" applyFill="1" applyAlignment="1">
      <alignment horizontal="center"/>
    </xf>
    <xf numFmtId="177" fontId="19" fillId="4" borderId="0" xfId="15" applyFont="1" applyFill="1" applyBorder="1" applyAlignment="1">
      <alignment horizontal="center"/>
    </xf>
    <xf numFmtId="177" fontId="19" fillId="3" borderId="0" xfId="15" applyFont="1" applyFill="1" applyBorder="1" applyAlignment="1">
      <alignment horizontal="center"/>
    </xf>
    <xf numFmtId="177" fontId="19" fillId="3" borderId="0" xfId="15" applyFont="1" applyFill="1" applyAlignment="1">
      <alignment horizontal="center"/>
    </xf>
    <xf numFmtId="177" fontId="19" fillId="5" borderId="0" xfId="15" applyFont="1" applyFill="1" applyAlignment="1">
      <alignment horizontal="center"/>
    </xf>
    <xf numFmtId="177" fontId="19" fillId="2" borderId="0" xfId="15" applyFont="1" applyFill="1" applyAlignment="1">
      <alignment horizontal="center"/>
    </xf>
    <xf numFmtId="0" fontId="0" fillId="4" borderId="0" xfId="0" applyFont="1" applyFill="1" applyAlignment="1">
      <alignment horizontal="center"/>
    </xf>
    <xf numFmtId="0" fontId="0" fillId="3" borderId="0" xfId="0" applyFont="1" applyFill="1" applyAlignment="1">
      <alignment horizontal="center"/>
    </xf>
    <xf numFmtId="0" fontId="0" fillId="5" borderId="0" xfId="0" applyFont="1" applyFill="1" applyAlignment="1">
      <alignment horizontal="center"/>
    </xf>
    <xf numFmtId="0" fontId="0" fillId="0" borderId="0" xfId="0" applyFont="1" applyAlignment="1">
      <alignment horizontal="center"/>
    </xf>
    <xf numFmtId="177" fontId="19" fillId="0" borderId="0" xfId="15" applyFont="1" applyAlignment="1">
      <alignment horizontal="right"/>
    </xf>
    <xf numFmtId="177" fontId="19" fillId="0" borderId="0" xfId="15" applyFont="1" applyBorder="1" applyAlignment="1">
      <alignment/>
    </xf>
    <xf numFmtId="0" fontId="19" fillId="4" borderId="0" xfId="0" applyFont="1" applyFill="1" applyAlignment="1">
      <alignment horizontal="center"/>
    </xf>
    <xf numFmtId="0" fontId="19" fillId="3" borderId="0" xfId="0" applyFont="1" applyFill="1" applyAlignment="1">
      <alignment horizontal="center"/>
    </xf>
    <xf numFmtId="177" fontId="19" fillId="0" borderId="0" xfId="15" applyFont="1" applyBorder="1" applyAlignment="1">
      <alignment horizontal="right"/>
    </xf>
    <xf numFmtId="177" fontId="19" fillId="0" borderId="0" xfId="15" applyFont="1" applyAlignment="1">
      <alignment/>
    </xf>
    <xf numFmtId="0" fontId="21" fillId="2" borderId="0" xfId="0" applyFont="1" applyFill="1" applyBorder="1" applyAlignment="1">
      <alignment/>
    </xf>
    <xf numFmtId="177" fontId="24" fillId="0" borderId="0" xfId="15" applyFont="1" applyAlignment="1">
      <alignment/>
    </xf>
    <xf numFmtId="177" fontId="24" fillId="2" borderId="0" xfId="15" applyFont="1" applyFill="1" applyAlignment="1">
      <alignment/>
    </xf>
    <xf numFmtId="177" fontId="0" fillId="0" borderId="0" xfId="15" applyFont="1" applyAlignment="1">
      <alignment/>
    </xf>
    <xf numFmtId="0" fontId="24" fillId="0" borderId="0" xfId="0" applyFont="1" applyAlignment="1">
      <alignment/>
    </xf>
    <xf numFmtId="177" fontId="24" fillId="3" borderId="0" xfId="15" applyFont="1" applyFill="1" applyAlignment="1">
      <alignment/>
    </xf>
    <xf numFmtId="177" fontId="24" fillId="0" borderId="0" xfId="15" applyNumberFormat="1" applyFont="1" applyAlignment="1">
      <alignment/>
    </xf>
    <xf numFmtId="43" fontId="24" fillId="0" borderId="0" xfId="0" applyNumberFormat="1" applyFont="1" applyAlignment="1">
      <alignment/>
    </xf>
    <xf numFmtId="177" fontId="24" fillId="0" borderId="3" xfId="15" applyFont="1" applyBorder="1" applyAlignment="1">
      <alignment/>
    </xf>
    <xf numFmtId="177" fontId="24" fillId="3" borderId="3" xfId="15" applyFont="1" applyFill="1" applyBorder="1" applyAlignment="1">
      <alignment/>
    </xf>
    <xf numFmtId="177" fontId="24" fillId="0" borderId="3" xfId="15" applyNumberFormat="1" applyFont="1" applyBorder="1" applyAlignment="1">
      <alignment/>
    </xf>
    <xf numFmtId="177" fontId="24" fillId="2" borderId="3" xfId="15" applyFont="1" applyFill="1" applyBorder="1" applyAlignment="1">
      <alignment/>
    </xf>
    <xf numFmtId="177" fontId="25" fillId="0" borderId="3" xfId="15" applyFont="1" applyBorder="1" applyAlignment="1">
      <alignment/>
    </xf>
    <xf numFmtId="177" fontId="24" fillId="0" borderId="0" xfId="15" applyFont="1" applyBorder="1" applyAlignment="1">
      <alignment/>
    </xf>
    <xf numFmtId="177" fontId="24" fillId="2" borderId="0" xfId="15" applyFont="1" applyFill="1" applyBorder="1" applyAlignment="1">
      <alignment/>
    </xf>
    <xf numFmtId="177" fontId="24" fillId="3" borderId="0" xfId="15" applyNumberFormat="1" applyFont="1" applyFill="1" applyAlignment="1">
      <alignment/>
    </xf>
    <xf numFmtId="177" fontId="24" fillId="2" borderId="0" xfId="15" applyNumberFormat="1" applyFont="1" applyFill="1" applyAlignment="1">
      <alignment/>
    </xf>
    <xf numFmtId="177" fontId="24" fillId="0" borderId="1" xfId="15" applyNumberFormat="1" applyFont="1" applyBorder="1" applyAlignment="1">
      <alignment/>
    </xf>
    <xf numFmtId="177" fontId="24" fillId="3" borderId="1" xfId="15" applyNumberFormat="1" applyFont="1" applyFill="1" applyBorder="1" applyAlignment="1">
      <alignment/>
    </xf>
    <xf numFmtId="177" fontId="24" fillId="2" borderId="1" xfId="15" applyNumberFormat="1" applyFont="1" applyFill="1" applyBorder="1" applyAlignment="1">
      <alignment/>
    </xf>
    <xf numFmtId="177" fontId="0" fillId="0" borderId="1" xfId="15" applyNumberFormat="1" applyFont="1" applyBorder="1" applyAlignment="1">
      <alignment/>
    </xf>
    <xf numFmtId="177" fontId="24" fillId="0" borderId="1" xfId="0" applyNumberFormat="1" applyFont="1" applyBorder="1" applyAlignment="1">
      <alignment/>
    </xf>
    <xf numFmtId="177" fontId="0" fillId="0" borderId="0" xfId="0" applyNumberFormat="1" applyFont="1" applyAlignment="1">
      <alignment/>
    </xf>
    <xf numFmtId="177" fontId="25" fillId="0" borderId="0" xfId="15" applyFont="1" applyAlignment="1">
      <alignment/>
    </xf>
    <xf numFmtId="177" fontId="24" fillId="0" borderId="0" xfId="0" applyNumberFormat="1" applyFont="1" applyAlignment="1">
      <alignment/>
    </xf>
    <xf numFmtId="177" fontId="0" fillId="0" borderId="3" xfId="15" applyFont="1" applyBorder="1" applyAlignment="1">
      <alignment/>
    </xf>
    <xf numFmtId="43" fontId="25" fillId="0" borderId="3" xfId="0" applyNumberFormat="1" applyFont="1" applyBorder="1" applyAlignment="1">
      <alignment/>
    </xf>
    <xf numFmtId="177" fontId="0" fillId="0" borderId="0" xfId="15" applyNumberFormat="1" applyFont="1" applyAlignment="1">
      <alignment/>
    </xf>
    <xf numFmtId="177" fontId="24" fillId="0" borderId="3" xfId="15" applyNumberFormat="1" applyFont="1" applyFill="1" applyBorder="1" applyAlignment="1">
      <alignment/>
    </xf>
    <xf numFmtId="177" fontId="24" fillId="0" borderId="3" xfId="15" applyFont="1" applyFill="1" applyBorder="1" applyAlignment="1">
      <alignment/>
    </xf>
    <xf numFmtId="177" fontId="25" fillId="0" borderId="3" xfId="15" applyFont="1" applyFill="1" applyBorder="1" applyAlignment="1">
      <alignment/>
    </xf>
    <xf numFmtId="0" fontId="24" fillId="3" borderId="0" xfId="0" applyFont="1" applyFill="1" applyAlignment="1">
      <alignment/>
    </xf>
    <xf numFmtId="204" fontId="24" fillId="0" borderId="0" xfId="15" applyNumberFormat="1" applyFont="1" applyAlignment="1">
      <alignment/>
    </xf>
    <xf numFmtId="177" fontId="0" fillId="3" borderId="0" xfId="15" applyFont="1" applyFill="1" applyAlignment="1">
      <alignment/>
    </xf>
    <xf numFmtId="204" fontId="24" fillId="0" borderId="0" xfId="0" applyNumberFormat="1" applyFont="1" applyAlignment="1">
      <alignment/>
    </xf>
    <xf numFmtId="43" fontId="0" fillId="0" borderId="3" xfId="0" applyNumberFormat="1" applyFont="1" applyBorder="1" applyAlignment="1">
      <alignment/>
    </xf>
    <xf numFmtId="43" fontId="0" fillId="3" borderId="3" xfId="0" applyNumberFormat="1" applyFont="1" applyFill="1" applyBorder="1" applyAlignment="1">
      <alignment/>
    </xf>
    <xf numFmtId="0" fontId="16" fillId="0" borderId="0" xfId="0" applyFont="1" applyFill="1" applyBorder="1" applyAlignment="1">
      <alignment horizontal="left"/>
    </xf>
    <xf numFmtId="177" fontId="0" fillId="0" borderId="0" xfId="15" applyFont="1" applyAlignment="1">
      <alignment/>
    </xf>
    <xf numFmtId="177" fontId="1" fillId="0" borderId="0" xfId="15" applyFont="1" applyAlignment="1">
      <alignment horizontal="center"/>
    </xf>
    <xf numFmtId="0" fontId="16" fillId="0" borderId="0" xfId="0" applyFont="1" applyAlignment="1">
      <alignment/>
    </xf>
    <xf numFmtId="0" fontId="19" fillId="0" borderId="0" xfId="0" applyFont="1" applyFill="1" applyAlignment="1">
      <alignment horizontal="center"/>
    </xf>
    <xf numFmtId="0" fontId="21" fillId="0" borderId="0" xfId="0" applyFont="1" applyFill="1" applyAlignment="1">
      <alignment/>
    </xf>
    <xf numFmtId="177" fontId="24" fillId="0" borderId="0" xfId="15" applyFont="1" applyFill="1" applyAlignment="1">
      <alignment/>
    </xf>
    <xf numFmtId="177" fontId="24" fillId="0" borderId="0" xfId="15" applyFont="1" applyFill="1" applyBorder="1" applyAlignment="1">
      <alignment/>
    </xf>
    <xf numFmtId="177" fontId="24" fillId="0" borderId="1" xfId="15" applyNumberFormat="1" applyFont="1" applyFill="1" applyBorder="1" applyAlignment="1">
      <alignment/>
    </xf>
    <xf numFmtId="177" fontId="24" fillId="0" borderId="1" xfId="15" applyFont="1" applyBorder="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15" applyNumberFormat="1" applyFont="1" applyAlignment="1">
      <alignment horizontal="center"/>
    </xf>
    <xf numFmtId="185" fontId="1" fillId="0" borderId="0" xfId="15" applyNumberFormat="1" applyFont="1" applyFill="1" applyAlignment="1">
      <alignment horizontal="center"/>
    </xf>
    <xf numFmtId="185" fontId="0" fillId="0" borderId="0" xfId="15" applyNumberFormat="1" applyFont="1" applyAlignment="1">
      <alignment horizontal="center"/>
    </xf>
    <xf numFmtId="185" fontId="1" fillId="0" borderId="0" xfId="15" applyNumberFormat="1" applyFont="1" applyBorder="1" applyAlignment="1">
      <alignment horizontal="center"/>
    </xf>
    <xf numFmtId="0" fontId="1" fillId="0" borderId="0" xfId="0" applyFont="1" applyBorder="1" applyAlignment="1">
      <alignment horizontal="center" wrapText="1"/>
    </xf>
    <xf numFmtId="0" fontId="19" fillId="0" borderId="0" xfId="15" applyNumberFormat="1" applyFont="1" applyAlignment="1">
      <alignment horizontal="center"/>
    </xf>
    <xf numFmtId="0" fontId="0" fillId="0" borderId="0" xfId="0" applyAlignment="1">
      <alignment/>
    </xf>
    <xf numFmtId="177" fontId="19" fillId="4" borderId="0" xfId="15" applyFont="1" applyFill="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Mesb-04Dec" xfId="21"/>
    <cellStyle name="Normal_QuarterlyTemplate" xfId="22"/>
    <cellStyle name="Normal_SSPL"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123825</xdr:rowOff>
    </xdr:from>
    <xdr:to>
      <xdr:col>7</xdr:col>
      <xdr:colOff>885825</xdr:colOff>
      <xdr:row>60</xdr:row>
      <xdr:rowOff>123825</xdr:rowOff>
    </xdr:to>
    <xdr:sp>
      <xdr:nvSpPr>
        <xdr:cNvPr id="1" name="TextBox 2"/>
        <xdr:cNvSpPr txBox="1">
          <a:spLocks noChangeArrowheads="1"/>
        </xdr:cNvSpPr>
      </xdr:nvSpPr>
      <xdr:spPr>
        <a:xfrm>
          <a:off x="28575" y="8582025"/>
          <a:ext cx="608647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statements for the year ended </a:t>
          </a:r>
          <a:r>
            <a:rPr lang="en-US" cap="none" sz="1000" b="0" i="0" u="none" baseline="0">
              <a:latin typeface="Arial"/>
              <a:ea typeface="Arial"/>
              <a:cs typeface="Arial"/>
            </a:rPr>
            <a:t>31 December 2006</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47625</xdr:rowOff>
    </xdr:from>
    <xdr:to>
      <xdr:col>6</xdr:col>
      <xdr:colOff>990600</xdr:colOff>
      <xdr:row>56</xdr:row>
      <xdr:rowOff>123825</xdr:rowOff>
    </xdr:to>
    <xdr:sp>
      <xdr:nvSpPr>
        <xdr:cNvPr id="1" name="TextBox 1"/>
        <xdr:cNvSpPr txBox="1">
          <a:spLocks noChangeArrowheads="1"/>
        </xdr:cNvSpPr>
      </xdr:nvSpPr>
      <xdr:spPr>
        <a:xfrm>
          <a:off x="28575" y="8667750"/>
          <a:ext cx="62484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year ended </a:t>
          </a:r>
          <a:r>
            <a:rPr lang="en-US" cap="none" sz="1000" b="0" i="0" u="none" baseline="0">
              <a:latin typeface="Arial"/>
              <a:ea typeface="Arial"/>
              <a:cs typeface="Arial"/>
            </a:rPr>
            <a:t>31 December 2006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65</xdr:row>
      <xdr:rowOff>47625</xdr:rowOff>
    </xdr:from>
    <xdr:to>
      <xdr:col>9</xdr:col>
      <xdr:colOff>723900</xdr:colOff>
      <xdr:row>68</xdr:row>
      <xdr:rowOff>133350</xdr:rowOff>
    </xdr:to>
    <xdr:sp>
      <xdr:nvSpPr>
        <xdr:cNvPr id="1" name="TextBox 1"/>
        <xdr:cNvSpPr txBox="1">
          <a:spLocks noChangeArrowheads="1"/>
        </xdr:cNvSpPr>
      </xdr:nvSpPr>
      <xdr:spPr>
        <a:xfrm>
          <a:off x="28575" y="10610850"/>
          <a:ext cx="7667625"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year ended 31 December 2006 and the accompanying explanatory notes attached to the interim financial statements. </a:t>
          </a:r>
        </a:p>
      </xdr:txBody>
    </xdr:sp>
    <xdr:clientData/>
  </xdr:twoCellAnchor>
  <xdr:twoCellAnchor>
    <xdr:from>
      <xdr:col>7</xdr:col>
      <xdr:colOff>142875</xdr:colOff>
      <xdr:row>8</xdr:row>
      <xdr:rowOff>95250</xdr:rowOff>
    </xdr:from>
    <xdr:to>
      <xdr:col>8</xdr:col>
      <xdr:colOff>0</xdr:colOff>
      <xdr:row>8</xdr:row>
      <xdr:rowOff>95250</xdr:rowOff>
    </xdr:to>
    <xdr:sp>
      <xdr:nvSpPr>
        <xdr:cNvPr id="2" name="Line 12"/>
        <xdr:cNvSpPr>
          <a:spLocks/>
        </xdr:cNvSpPr>
      </xdr:nvSpPr>
      <xdr:spPr>
        <a:xfrm flipV="1">
          <a:off x="5676900" y="13906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8</xdr:row>
      <xdr:rowOff>95250</xdr:rowOff>
    </xdr:from>
    <xdr:to>
      <xdr:col>3</xdr:col>
      <xdr:colOff>590550</xdr:colOff>
      <xdr:row>8</xdr:row>
      <xdr:rowOff>95250</xdr:rowOff>
    </xdr:to>
    <xdr:sp>
      <xdr:nvSpPr>
        <xdr:cNvPr id="3" name="Line 13"/>
        <xdr:cNvSpPr>
          <a:spLocks/>
        </xdr:cNvSpPr>
      </xdr:nvSpPr>
      <xdr:spPr>
        <a:xfrm>
          <a:off x="2447925" y="1390650"/>
          <a:ext cx="5619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142875</xdr:rowOff>
    </xdr:from>
    <xdr:to>
      <xdr:col>8</xdr:col>
      <xdr:colOff>990600</xdr:colOff>
      <xdr:row>63</xdr:row>
      <xdr:rowOff>47625</xdr:rowOff>
    </xdr:to>
    <xdr:sp>
      <xdr:nvSpPr>
        <xdr:cNvPr id="1" name="TextBox 2"/>
        <xdr:cNvSpPr txBox="1">
          <a:spLocks noChangeArrowheads="1"/>
        </xdr:cNvSpPr>
      </xdr:nvSpPr>
      <xdr:spPr>
        <a:xfrm>
          <a:off x="38100" y="8601075"/>
          <a:ext cx="62007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7</xdr:col>
      <xdr:colOff>1047750</xdr:colOff>
      <xdr:row>17</xdr:row>
      <xdr:rowOff>142875</xdr:rowOff>
    </xdr:to>
    <xdr:sp>
      <xdr:nvSpPr>
        <xdr:cNvPr id="1" name="TextBox 1"/>
        <xdr:cNvSpPr txBox="1">
          <a:spLocks noChangeArrowheads="1"/>
        </xdr:cNvSpPr>
      </xdr:nvSpPr>
      <xdr:spPr>
        <a:xfrm>
          <a:off x="285750" y="1447800"/>
          <a:ext cx="6248400" cy="1447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The interim financial statements should be read in conjunction with the annual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twoCellAnchor>
  <xdr:twoCellAnchor>
    <xdr:from>
      <xdr:col>1</xdr:col>
      <xdr:colOff>28575</xdr:colOff>
      <xdr:row>33</xdr:row>
      <xdr:rowOff>9525</xdr:rowOff>
    </xdr:from>
    <xdr:to>
      <xdr:col>7</xdr:col>
      <xdr:colOff>1057275</xdr:colOff>
      <xdr:row>35</xdr:row>
      <xdr:rowOff>57150</xdr:rowOff>
    </xdr:to>
    <xdr:sp>
      <xdr:nvSpPr>
        <xdr:cNvPr id="2" name="TextBox 2"/>
        <xdr:cNvSpPr txBox="1">
          <a:spLocks noChangeArrowheads="1"/>
        </xdr:cNvSpPr>
      </xdr:nvSpPr>
      <xdr:spPr>
        <a:xfrm>
          <a:off x="304800" y="5353050"/>
          <a:ext cx="62388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2006 was not subject to any qualification.</a:t>
          </a:r>
        </a:p>
      </xdr:txBody>
    </xdr:sp>
    <xdr:clientData/>
  </xdr:twoCellAnchor>
  <xdr:twoCellAnchor>
    <xdr:from>
      <xdr:col>1</xdr:col>
      <xdr:colOff>0</xdr:colOff>
      <xdr:row>38</xdr:row>
      <xdr:rowOff>9525</xdr:rowOff>
    </xdr:from>
    <xdr:to>
      <xdr:col>7</xdr:col>
      <xdr:colOff>1047750</xdr:colOff>
      <xdr:row>40</xdr:row>
      <xdr:rowOff>19050</xdr:rowOff>
    </xdr:to>
    <xdr:sp>
      <xdr:nvSpPr>
        <xdr:cNvPr id="3" name="TextBox 3"/>
        <xdr:cNvSpPr txBox="1">
          <a:spLocks noChangeArrowheads="1"/>
        </xdr:cNvSpPr>
      </xdr:nvSpPr>
      <xdr:spPr>
        <a:xfrm>
          <a:off x="276225" y="6181725"/>
          <a:ext cx="62579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43</xdr:row>
      <xdr:rowOff>9525</xdr:rowOff>
    </xdr:from>
    <xdr:to>
      <xdr:col>7</xdr:col>
      <xdr:colOff>1066800</xdr:colOff>
      <xdr:row>45</xdr:row>
      <xdr:rowOff>28575</xdr:rowOff>
    </xdr:to>
    <xdr:sp>
      <xdr:nvSpPr>
        <xdr:cNvPr id="4" name="TextBox 4"/>
        <xdr:cNvSpPr txBox="1">
          <a:spLocks noChangeArrowheads="1"/>
        </xdr:cNvSpPr>
      </xdr:nvSpPr>
      <xdr:spPr>
        <a:xfrm>
          <a:off x="276225" y="6991350"/>
          <a:ext cx="627697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a:t>
          </a:r>
          <a:r>
            <a:rPr lang="en-US" cap="none" sz="1000" b="0" i="0" u="none" baseline="0">
              <a:latin typeface="Arial"/>
              <a:ea typeface="Arial"/>
              <a:cs typeface="Arial"/>
            </a:rPr>
            <a:t> during the quarter under review.</a:t>
          </a:r>
        </a:p>
      </xdr:txBody>
    </xdr:sp>
    <xdr:clientData/>
  </xdr:twoCellAnchor>
  <xdr:twoCellAnchor>
    <xdr:from>
      <xdr:col>1</xdr:col>
      <xdr:colOff>9525</xdr:colOff>
      <xdr:row>47</xdr:row>
      <xdr:rowOff>152400</xdr:rowOff>
    </xdr:from>
    <xdr:to>
      <xdr:col>8</xdr:col>
      <xdr:colOff>0</xdr:colOff>
      <xdr:row>49</xdr:row>
      <xdr:rowOff>114300</xdr:rowOff>
    </xdr:to>
    <xdr:sp>
      <xdr:nvSpPr>
        <xdr:cNvPr id="5" name="TextBox 5"/>
        <xdr:cNvSpPr txBox="1">
          <a:spLocks noChangeArrowheads="1"/>
        </xdr:cNvSpPr>
      </xdr:nvSpPr>
      <xdr:spPr>
        <a:xfrm>
          <a:off x="285750" y="7810500"/>
          <a:ext cx="6267450" cy="285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
</a:t>
          </a:r>
        </a:p>
      </xdr:txBody>
    </xdr:sp>
    <xdr:clientData/>
  </xdr:twoCellAnchor>
  <xdr:twoCellAnchor>
    <xdr:from>
      <xdr:col>1</xdr:col>
      <xdr:colOff>9525</xdr:colOff>
      <xdr:row>110</xdr:row>
      <xdr:rowOff>0</xdr:rowOff>
    </xdr:from>
    <xdr:to>
      <xdr:col>7</xdr:col>
      <xdr:colOff>1066800</xdr:colOff>
      <xdr:row>112</xdr:row>
      <xdr:rowOff>95250</xdr:rowOff>
    </xdr:to>
    <xdr:sp>
      <xdr:nvSpPr>
        <xdr:cNvPr id="6" name="TextBox 9"/>
        <xdr:cNvSpPr txBox="1">
          <a:spLocks noChangeArrowheads="1"/>
        </xdr:cNvSpPr>
      </xdr:nvSpPr>
      <xdr:spPr>
        <a:xfrm>
          <a:off x="285750" y="17887950"/>
          <a:ext cx="626745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valuations of property, plant and equipment have been brought forward without amendment from the financial statements for the year ended 31 December 2006.</a:t>
          </a:r>
        </a:p>
      </xdr:txBody>
    </xdr:sp>
    <xdr:clientData/>
  </xdr:twoCellAnchor>
  <xdr:twoCellAnchor>
    <xdr:from>
      <xdr:col>1</xdr:col>
      <xdr:colOff>0</xdr:colOff>
      <xdr:row>114</xdr:row>
      <xdr:rowOff>152400</xdr:rowOff>
    </xdr:from>
    <xdr:to>
      <xdr:col>8</xdr:col>
      <xdr:colOff>0</xdr:colOff>
      <xdr:row>117</xdr:row>
      <xdr:rowOff>76200</xdr:rowOff>
    </xdr:to>
    <xdr:sp>
      <xdr:nvSpPr>
        <xdr:cNvPr id="7" name="TextBox 10"/>
        <xdr:cNvSpPr txBox="1">
          <a:spLocks noChangeArrowheads="1"/>
        </xdr:cNvSpPr>
      </xdr:nvSpPr>
      <xdr:spPr>
        <a:xfrm>
          <a:off x="276225" y="18688050"/>
          <a:ext cx="627697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23(a) and below, there were no material events subsequent to the end of the current quarter:
</a:t>
          </a:r>
        </a:p>
      </xdr:txBody>
    </xdr:sp>
    <xdr:clientData/>
  </xdr:twoCellAnchor>
  <xdr:twoCellAnchor>
    <xdr:from>
      <xdr:col>1</xdr:col>
      <xdr:colOff>0</xdr:colOff>
      <xdr:row>178</xdr:row>
      <xdr:rowOff>133350</xdr:rowOff>
    </xdr:from>
    <xdr:to>
      <xdr:col>8</xdr:col>
      <xdr:colOff>0</xdr:colOff>
      <xdr:row>181</xdr:row>
      <xdr:rowOff>66675</xdr:rowOff>
    </xdr:to>
    <xdr:sp>
      <xdr:nvSpPr>
        <xdr:cNvPr id="8" name="TextBox 12"/>
        <xdr:cNvSpPr txBox="1">
          <a:spLocks noChangeArrowheads="1"/>
        </xdr:cNvSpPr>
      </xdr:nvSpPr>
      <xdr:spPr>
        <a:xfrm>
          <a:off x="276225" y="29032200"/>
          <a:ext cx="6276975"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balance sheet as at 31 December 2006 except for the following:
</a:t>
          </a:r>
        </a:p>
      </xdr:txBody>
    </xdr:sp>
    <xdr:clientData/>
  </xdr:twoCellAnchor>
  <xdr:twoCellAnchor>
    <xdr:from>
      <xdr:col>1</xdr:col>
      <xdr:colOff>9525</xdr:colOff>
      <xdr:row>190</xdr:row>
      <xdr:rowOff>19050</xdr:rowOff>
    </xdr:from>
    <xdr:to>
      <xdr:col>7</xdr:col>
      <xdr:colOff>1038225</xdr:colOff>
      <xdr:row>192</xdr:row>
      <xdr:rowOff>57150</xdr:rowOff>
    </xdr:to>
    <xdr:sp>
      <xdr:nvSpPr>
        <xdr:cNvPr id="9" name="TextBox 13"/>
        <xdr:cNvSpPr txBox="1">
          <a:spLocks noChangeArrowheads="1"/>
        </xdr:cNvSpPr>
      </xdr:nvSpPr>
      <xdr:spPr>
        <a:xfrm>
          <a:off x="285750" y="30870525"/>
          <a:ext cx="6238875"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30 June 2007 is as follows:-
</a:t>
          </a:r>
        </a:p>
      </xdr:txBody>
    </xdr:sp>
    <xdr:clientData/>
  </xdr:twoCellAnchor>
  <xdr:twoCellAnchor>
    <xdr:from>
      <xdr:col>0</xdr:col>
      <xdr:colOff>19050</xdr:colOff>
      <xdr:row>4</xdr:row>
      <xdr:rowOff>19050</xdr:rowOff>
    </xdr:from>
    <xdr:to>
      <xdr:col>7</xdr:col>
      <xdr:colOff>1057275</xdr:colOff>
      <xdr:row>6</xdr:row>
      <xdr:rowOff>57150</xdr:rowOff>
    </xdr:to>
    <xdr:sp>
      <xdr:nvSpPr>
        <xdr:cNvPr id="10" name="TextBox 15"/>
        <xdr:cNvSpPr txBox="1">
          <a:spLocks noChangeArrowheads="1"/>
        </xdr:cNvSpPr>
      </xdr:nvSpPr>
      <xdr:spPr>
        <a:xfrm>
          <a:off x="19050" y="666750"/>
          <a:ext cx="6524625" cy="361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EXPLANATORY NOTES TO THE FINANCIAL STATEMENTS FOR THE SECOND QUARTER ENDED 30 JUNE 2007 PURSUANT TO FRS 134</a:t>
          </a:r>
        </a:p>
      </xdr:txBody>
    </xdr:sp>
    <xdr:clientData/>
  </xdr:twoCellAnchor>
  <xdr:twoCellAnchor>
    <xdr:from>
      <xdr:col>1</xdr:col>
      <xdr:colOff>0</xdr:colOff>
      <xdr:row>227</xdr:row>
      <xdr:rowOff>9525</xdr:rowOff>
    </xdr:from>
    <xdr:to>
      <xdr:col>8</xdr:col>
      <xdr:colOff>0</xdr:colOff>
      <xdr:row>230</xdr:row>
      <xdr:rowOff>28575</xdr:rowOff>
    </xdr:to>
    <xdr:sp>
      <xdr:nvSpPr>
        <xdr:cNvPr id="11" name="TextBox 16"/>
        <xdr:cNvSpPr txBox="1">
          <a:spLocks noChangeArrowheads="1"/>
        </xdr:cNvSpPr>
      </xdr:nvSpPr>
      <xdr:spPr>
        <a:xfrm>
          <a:off x="276225" y="36871275"/>
          <a:ext cx="627697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52</xdr:row>
      <xdr:rowOff>0</xdr:rowOff>
    </xdr:from>
    <xdr:to>
      <xdr:col>7</xdr:col>
      <xdr:colOff>1047750</xdr:colOff>
      <xdr:row>54</xdr:row>
      <xdr:rowOff>76200</xdr:rowOff>
    </xdr:to>
    <xdr:sp>
      <xdr:nvSpPr>
        <xdr:cNvPr id="12" name="TextBox 17"/>
        <xdr:cNvSpPr txBox="1">
          <a:spLocks noChangeArrowheads="1"/>
        </xdr:cNvSpPr>
      </xdr:nvSpPr>
      <xdr:spPr>
        <a:xfrm>
          <a:off x="285750" y="8477250"/>
          <a:ext cx="6248400"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 except for the following:</a:t>
          </a:r>
        </a:p>
      </xdr:txBody>
    </xdr:sp>
    <xdr:clientData/>
  </xdr:twoCellAnchor>
  <xdr:twoCellAnchor>
    <xdr:from>
      <xdr:col>1</xdr:col>
      <xdr:colOff>0</xdr:colOff>
      <xdr:row>236</xdr:row>
      <xdr:rowOff>0</xdr:rowOff>
    </xdr:from>
    <xdr:to>
      <xdr:col>7</xdr:col>
      <xdr:colOff>1066800</xdr:colOff>
      <xdr:row>236</xdr:row>
      <xdr:rowOff>0</xdr:rowOff>
    </xdr:to>
    <xdr:sp>
      <xdr:nvSpPr>
        <xdr:cNvPr id="13" name="TextBox 21"/>
        <xdr:cNvSpPr txBox="1">
          <a:spLocks noChangeArrowheads="1"/>
        </xdr:cNvSpPr>
      </xdr:nvSpPr>
      <xdr:spPr>
        <a:xfrm>
          <a:off x="276225" y="38319075"/>
          <a:ext cx="6276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9525</xdr:colOff>
      <xdr:row>88</xdr:row>
      <xdr:rowOff>76200</xdr:rowOff>
    </xdr:from>
    <xdr:to>
      <xdr:col>7</xdr:col>
      <xdr:colOff>1047750</xdr:colOff>
      <xdr:row>89</xdr:row>
      <xdr:rowOff>114300</xdr:rowOff>
    </xdr:to>
    <xdr:sp>
      <xdr:nvSpPr>
        <xdr:cNvPr id="14" name="TextBox 30"/>
        <xdr:cNvSpPr txBox="1">
          <a:spLocks noChangeArrowheads="1"/>
        </xdr:cNvSpPr>
      </xdr:nvSpPr>
      <xdr:spPr>
        <a:xfrm>
          <a:off x="285750" y="14382750"/>
          <a:ext cx="6248400"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Analysis by geographical segments:</a:t>
          </a:r>
        </a:p>
      </xdr:txBody>
    </xdr:sp>
    <xdr:clientData/>
  </xdr:twoCellAnchor>
  <xdr:oneCellAnchor>
    <xdr:from>
      <xdr:col>2</xdr:col>
      <xdr:colOff>95250</xdr:colOff>
      <xdr:row>31</xdr:row>
      <xdr:rowOff>0</xdr:rowOff>
    </xdr:from>
    <xdr:ext cx="76200" cy="200025"/>
    <xdr:sp>
      <xdr:nvSpPr>
        <xdr:cNvPr id="15" name="TextBox 43"/>
        <xdr:cNvSpPr txBox="1">
          <a:spLocks noChangeArrowheads="1"/>
        </xdr:cNvSpPr>
      </xdr:nvSpPr>
      <xdr:spPr>
        <a:xfrm>
          <a:off x="971550" y="5019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31</xdr:row>
      <xdr:rowOff>0</xdr:rowOff>
    </xdr:from>
    <xdr:to>
      <xdr:col>7</xdr:col>
      <xdr:colOff>1066800</xdr:colOff>
      <xdr:row>31</xdr:row>
      <xdr:rowOff>0</xdr:rowOff>
    </xdr:to>
    <xdr:sp>
      <xdr:nvSpPr>
        <xdr:cNvPr id="16" name="TextBox 51"/>
        <xdr:cNvSpPr txBox="1">
          <a:spLocks noChangeArrowheads="1"/>
        </xdr:cNvSpPr>
      </xdr:nvSpPr>
      <xdr:spPr>
        <a:xfrm>
          <a:off x="285750" y="5019675"/>
          <a:ext cx="6267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 of FRS 101, with the comparatives restated to conform with the current period's presentation.
</a:t>
          </a:r>
        </a:p>
      </xdr:txBody>
    </xdr:sp>
    <xdr:clientData/>
  </xdr:twoCellAnchor>
  <xdr:twoCellAnchor>
    <xdr:from>
      <xdr:col>1</xdr:col>
      <xdr:colOff>9525</xdr:colOff>
      <xdr:row>20</xdr:row>
      <xdr:rowOff>0</xdr:rowOff>
    </xdr:from>
    <xdr:to>
      <xdr:col>7</xdr:col>
      <xdr:colOff>1047750</xdr:colOff>
      <xdr:row>24</xdr:row>
      <xdr:rowOff>47625</xdr:rowOff>
    </xdr:to>
    <xdr:sp>
      <xdr:nvSpPr>
        <xdr:cNvPr id="17" name="TextBox 53"/>
        <xdr:cNvSpPr txBox="1">
          <a:spLocks noChangeArrowheads="1"/>
        </xdr:cNvSpPr>
      </xdr:nvSpPr>
      <xdr:spPr>
        <a:xfrm>
          <a:off x="285750" y="3238500"/>
          <a:ext cx="6248400" cy="695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and methods of computation adopted by the Group in this interim financial statements are consistent with those of the audited financial statements for the year ended 31 December 2006 except for the adoption of the following new/revised Financial Reporting Standards ("FRSs") effective for financial period beginning on or after 1 October 2006:
</a:t>
          </a:r>
        </a:p>
      </xdr:txBody>
    </xdr:sp>
    <xdr:clientData/>
  </xdr:twoCellAnchor>
  <xdr:twoCellAnchor>
    <xdr:from>
      <xdr:col>1</xdr:col>
      <xdr:colOff>9525</xdr:colOff>
      <xdr:row>28</xdr:row>
      <xdr:rowOff>28575</xdr:rowOff>
    </xdr:from>
    <xdr:to>
      <xdr:col>7</xdr:col>
      <xdr:colOff>1047750</xdr:colOff>
      <xdr:row>30</xdr:row>
      <xdr:rowOff>123825</xdr:rowOff>
    </xdr:to>
    <xdr:sp>
      <xdr:nvSpPr>
        <xdr:cNvPr id="18" name="TextBox 54"/>
        <xdr:cNvSpPr txBox="1">
          <a:spLocks noChangeArrowheads="1"/>
        </xdr:cNvSpPr>
      </xdr:nvSpPr>
      <xdr:spPr>
        <a:xfrm>
          <a:off x="285750" y="4562475"/>
          <a:ext cx="62484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FRSs do not have significant financial impact on the group for the current quarter under review. 
</a:t>
          </a:r>
        </a:p>
      </xdr:txBody>
    </xdr:sp>
    <xdr:clientData/>
  </xdr:twoCellAnchor>
  <xdr:twoCellAnchor>
    <xdr:from>
      <xdr:col>1</xdr:col>
      <xdr:colOff>9525</xdr:colOff>
      <xdr:row>31</xdr:row>
      <xdr:rowOff>0</xdr:rowOff>
    </xdr:from>
    <xdr:to>
      <xdr:col>7</xdr:col>
      <xdr:colOff>1066800</xdr:colOff>
      <xdr:row>31</xdr:row>
      <xdr:rowOff>0</xdr:rowOff>
    </xdr:to>
    <xdr:sp>
      <xdr:nvSpPr>
        <xdr:cNvPr id="19" name="TextBox 56"/>
        <xdr:cNvSpPr txBox="1">
          <a:spLocks noChangeArrowheads="1"/>
        </xdr:cNvSpPr>
      </xdr:nvSpPr>
      <xdr:spPr>
        <a:xfrm>
          <a:off x="285750" y="5019675"/>
          <a:ext cx="6267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p>
      </xdr:txBody>
    </xdr:sp>
    <xdr:clientData/>
  </xdr:twoCellAnchor>
  <xdr:twoCellAnchor>
    <xdr:from>
      <xdr:col>1</xdr:col>
      <xdr:colOff>9525</xdr:colOff>
      <xdr:row>31</xdr:row>
      <xdr:rowOff>0</xdr:rowOff>
    </xdr:from>
    <xdr:to>
      <xdr:col>7</xdr:col>
      <xdr:colOff>1066800</xdr:colOff>
      <xdr:row>31</xdr:row>
      <xdr:rowOff>0</xdr:rowOff>
    </xdr:to>
    <xdr:sp>
      <xdr:nvSpPr>
        <xdr:cNvPr id="20" name="TextBox 57"/>
        <xdr:cNvSpPr txBox="1">
          <a:spLocks noChangeArrowheads="1"/>
        </xdr:cNvSpPr>
      </xdr:nvSpPr>
      <xdr:spPr>
        <a:xfrm>
          <a:off x="285750" y="5019675"/>
          <a:ext cx="6267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a:t>
          </a:r>
          <a:r>
            <a:rPr lang="en-US" cap="none" sz="1000" b="0" i="0" u="none" baseline="0">
              <a:latin typeface="Arial"/>
              <a:ea typeface="Arial"/>
              <a:cs typeface="Arial"/>
            </a:rPr>
            <a:t> cost</a:t>
          </a:r>
          <a:r>
            <a:rPr lang="en-US" cap="none" sz="1000" b="0" i="0" u="none" baseline="0">
              <a:latin typeface="Arial"/>
              <a:ea typeface="Arial"/>
              <a:cs typeface="Arial"/>
            </a:rPr>
            <a:t> less accumulated amortisation and any accumulated impairment losses. Amortisation is provided for on a straight-line basis over the estimated useful life of the intangible assets.
</a:t>
          </a:r>
        </a:p>
      </xdr:txBody>
    </xdr:sp>
    <xdr:clientData/>
  </xdr:twoCellAnchor>
  <xdr:twoCellAnchor>
    <xdr:from>
      <xdr:col>1</xdr:col>
      <xdr:colOff>9525</xdr:colOff>
      <xdr:row>31</xdr:row>
      <xdr:rowOff>0</xdr:rowOff>
    </xdr:from>
    <xdr:to>
      <xdr:col>7</xdr:col>
      <xdr:colOff>1066800</xdr:colOff>
      <xdr:row>31</xdr:row>
      <xdr:rowOff>0</xdr:rowOff>
    </xdr:to>
    <xdr:sp>
      <xdr:nvSpPr>
        <xdr:cNvPr id="21" name="TextBox 61"/>
        <xdr:cNvSpPr txBox="1">
          <a:spLocks noChangeArrowheads="1"/>
        </xdr:cNvSpPr>
      </xdr:nvSpPr>
      <xdr:spPr>
        <a:xfrm>
          <a:off x="285750" y="5019675"/>
          <a:ext cx="6267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latin typeface="Arial"/>
              <a:ea typeface="Arial"/>
              <a:cs typeface="Arial"/>
            </a:rPr>
            <a:t>. These assets are now required to be presented as prepaid lease payments as a separate line item under non current assets and are amortised on a straight-line basis over the lease terms.
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latin typeface="Arial"/>
              <a:ea typeface="Arial"/>
              <a:cs typeface="Arial"/>
            </a:rPr>
            <a:t>.
</a:t>
          </a:r>
        </a:p>
      </xdr:txBody>
    </xdr:sp>
    <xdr:clientData/>
  </xdr:twoCellAnchor>
  <xdr:twoCellAnchor>
    <xdr:from>
      <xdr:col>1</xdr:col>
      <xdr:colOff>19050</xdr:colOff>
      <xdr:row>123</xdr:row>
      <xdr:rowOff>0</xdr:rowOff>
    </xdr:from>
    <xdr:to>
      <xdr:col>8</xdr:col>
      <xdr:colOff>0</xdr:colOff>
      <xdr:row>123</xdr:row>
      <xdr:rowOff>0</xdr:rowOff>
    </xdr:to>
    <xdr:sp>
      <xdr:nvSpPr>
        <xdr:cNvPr id="22" name="TextBox 69"/>
        <xdr:cNvSpPr txBox="1">
          <a:spLocks noChangeArrowheads="1"/>
        </xdr:cNvSpPr>
      </xdr:nvSpPr>
      <xdr:spPr>
        <a:xfrm>
          <a:off x="295275" y="19992975"/>
          <a:ext cx="6257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11 and 23(a), there were no changes in the composition of the Group during the current quarter under review.</a:t>
          </a:r>
        </a:p>
      </xdr:txBody>
    </xdr:sp>
    <xdr:clientData/>
  </xdr:twoCellAnchor>
  <xdr:oneCellAnchor>
    <xdr:from>
      <xdr:col>7</xdr:col>
      <xdr:colOff>933450</xdr:colOff>
      <xdr:row>187</xdr:row>
      <xdr:rowOff>0</xdr:rowOff>
    </xdr:from>
    <xdr:ext cx="76200" cy="200025"/>
    <xdr:sp>
      <xdr:nvSpPr>
        <xdr:cNvPr id="23" name="TextBox 72"/>
        <xdr:cNvSpPr txBox="1">
          <a:spLocks noChangeArrowheads="1"/>
        </xdr:cNvSpPr>
      </xdr:nvSpPr>
      <xdr:spPr>
        <a:xfrm>
          <a:off x="6419850" y="30365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180975</xdr:colOff>
      <xdr:row>186</xdr:row>
      <xdr:rowOff>57150</xdr:rowOff>
    </xdr:from>
    <xdr:ext cx="76200" cy="200025"/>
    <xdr:sp>
      <xdr:nvSpPr>
        <xdr:cNvPr id="24" name="TextBox 75"/>
        <xdr:cNvSpPr txBox="1">
          <a:spLocks noChangeArrowheads="1"/>
        </xdr:cNvSpPr>
      </xdr:nvSpPr>
      <xdr:spPr>
        <a:xfrm>
          <a:off x="7010400" y="30251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19050</xdr:colOff>
      <xdr:row>85</xdr:row>
      <xdr:rowOff>9525</xdr:rowOff>
    </xdr:from>
    <xdr:to>
      <xdr:col>7</xdr:col>
      <xdr:colOff>1047750</xdr:colOff>
      <xdr:row>86</xdr:row>
      <xdr:rowOff>66675</xdr:rowOff>
    </xdr:to>
    <xdr:sp>
      <xdr:nvSpPr>
        <xdr:cNvPr id="25" name="TextBox 77"/>
        <xdr:cNvSpPr txBox="1">
          <a:spLocks noChangeArrowheads="1"/>
        </xdr:cNvSpPr>
      </xdr:nvSpPr>
      <xdr:spPr>
        <a:xfrm>
          <a:off x="295275" y="13830300"/>
          <a:ext cx="62388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 paid during the quarter under review. </a:t>
          </a:r>
        </a:p>
      </xdr:txBody>
    </xdr:sp>
    <xdr:clientData/>
  </xdr:twoCellAnchor>
  <xdr:twoCellAnchor>
    <xdr:from>
      <xdr:col>1</xdr:col>
      <xdr:colOff>161925</xdr:colOff>
      <xdr:row>123</xdr:row>
      <xdr:rowOff>0</xdr:rowOff>
    </xdr:from>
    <xdr:to>
      <xdr:col>7</xdr:col>
      <xdr:colOff>1057275</xdr:colOff>
      <xdr:row>123</xdr:row>
      <xdr:rowOff>0</xdr:rowOff>
    </xdr:to>
    <xdr:sp>
      <xdr:nvSpPr>
        <xdr:cNvPr id="26" name="TextBox 79"/>
        <xdr:cNvSpPr txBox="1">
          <a:spLocks noChangeArrowheads="1"/>
        </xdr:cNvSpPr>
      </xdr:nvSpPr>
      <xdr:spPr>
        <a:xfrm>
          <a:off x="438150" y="19992975"/>
          <a:ext cx="6105525"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latin typeface="Arial"/>
              <a:ea typeface="Arial"/>
              <a:cs typeface="Arial"/>
            </a:rPr>
            <a:t>On 23 April 2007, Metronic Global Berhad ("MGB" or "the Company") entered into a Shareholders’ Agreement with Daniel Lim Kim Chuan, Dominica Avril Miji and Adprima Sdn Bhd ("Adprima") (“the Parties”) to carry out the activities of a special projects management consultancy company, performance contracting business and to participate in certain business which the Parties may from time to time agree.  MGB shall subscribe for up to 120,000 new ordinary shares of RM1.00 each in Adprima Sdn Bhd for a total cash consideration of RM162,500.  Daniel Lim Kim Chuan shall subscribe for up to 79,998 new ordinary shares of RM1.00 each in Adprima for a total cash consideration of RM87,498.  Upon the completion of the subscription of new ordinary shares in Adprima, MGB and Daniel Lim Kim Chuan shall hold 60% and 40% equity interest in Adprima respectively. </a:t>
          </a:r>
        </a:p>
      </xdr:txBody>
    </xdr:sp>
    <xdr:clientData/>
  </xdr:twoCellAnchor>
  <xdr:twoCellAnchor>
    <xdr:from>
      <xdr:col>1</xdr:col>
      <xdr:colOff>161925</xdr:colOff>
      <xdr:row>123</xdr:row>
      <xdr:rowOff>0</xdr:rowOff>
    </xdr:from>
    <xdr:to>
      <xdr:col>7</xdr:col>
      <xdr:colOff>1057275</xdr:colOff>
      <xdr:row>123</xdr:row>
      <xdr:rowOff>0</xdr:rowOff>
    </xdr:to>
    <xdr:sp>
      <xdr:nvSpPr>
        <xdr:cNvPr id="27" name="TextBox 80"/>
        <xdr:cNvSpPr txBox="1">
          <a:spLocks noChangeArrowheads="1"/>
        </xdr:cNvSpPr>
      </xdr:nvSpPr>
      <xdr:spPr>
        <a:xfrm>
          <a:off x="438150" y="1999297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April 2007, MGB entered into a  Shareholders Agreement with Kok Min Har (“Kok”), a Singaporean investor, to set up a joint venture company known as Securetrax Solutions Pte Ltd (“Securetrax”).  Securetrax was incorporated on 31 January 2007 as a private limited company in the Republic of Singapore with an issued and paid-up share capital of Singapore Dollars (“S$”) 2.00 comprising 2 ordinary shares of S$1.00 each. The intended business activity of Securetrax shall be the development of a series of products relating to Home Land Security. MGB and Kok (“Parties”) shall each purchase an ordinary share held by the current subscriber of Securetrax. Thereafter, the Parties agree that the issued and paid-up share capital of the Company shall be increased up to SGD 500,000 comprising 500,000 ordinary shares of SGD1.00 each. MGB and Kok shall hold 495,000 and 5,000 ordinary shares respectively.</a:t>
          </a:r>
        </a:p>
      </xdr:txBody>
    </xdr:sp>
    <xdr:clientData/>
  </xdr:twoCellAnchor>
  <xdr:twoCellAnchor>
    <xdr:from>
      <xdr:col>1</xdr:col>
      <xdr:colOff>161925</xdr:colOff>
      <xdr:row>123</xdr:row>
      <xdr:rowOff>0</xdr:rowOff>
    </xdr:from>
    <xdr:to>
      <xdr:col>7</xdr:col>
      <xdr:colOff>1057275</xdr:colOff>
      <xdr:row>123</xdr:row>
      <xdr:rowOff>0</xdr:rowOff>
    </xdr:to>
    <xdr:sp>
      <xdr:nvSpPr>
        <xdr:cNvPr id="28" name="TextBox 81"/>
        <xdr:cNvSpPr txBox="1">
          <a:spLocks noChangeArrowheads="1"/>
        </xdr:cNvSpPr>
      </xdr:nvSpPr>
      <xdr:spPr>
        <a:xfrm>
          <a:off x="438150" y="1999297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issued 23,041,474 new ordinary shares of RM0.10 each at an issue price of RM0.30 per ordinary share amounting to RM6,912,442 as discharge of purchase consideration for acquisition of Unilink Development Limited. Further details of the acquisition are disclosed in Note 23(a)(iv).</a:t>
          </a:r>
        </a:p>
      </xdr:txBody>
    </xdr:sp>
    <xdr:clientData/>
  </xdr:twoCellAnchor>
  <xdr:twoCellAnchor>
    <xdr:from>
      <xdr:col>1</xdr:col>
      <xdr:colOff>161925</xdr:colOff>
      <xdr:row>123</xdr:row>
      <xdr:rowOff>0</xdr:rowOff>
    </xdr:from>
    <xdr:to>
      <xdr:col>7</xdr:col>
      <xdr:colOff>1057275</xdr:colOff>
      <xdr:row>123</xdr:row>
      <xdr:rowOff>0</xdr:rowOff>
    </xdr:to>
    <xdr:sp>
      <xdr:nvSpPr>
        <xdr:cNvPr id="29" name="TextBox 82"/>
        <xdr:cNvSpPr txBox="1">
          <a:spLocks noChangeArrowheads="1"/>
        </xdr:cNvSpPr>
      </xdr:nvSpPr>
      <xdr:spPr>
        <a:xfrm>
          <a:off x="438150" y="19992975"/>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issued 23,041,474 new ordinary shares of RM0.10 each at an issue price of RM0.30 per ordinary share amounting to RM6,912,442 as discharge of purchase consideration for acquisition of Hong Kong Broadway Electronics Company Limited. Further details of the acquisition are disclosed in Note 23(a)(iv).</a:t>
          </a:r>
        </a:p>
      </xdr:txBody>
    </xdr:sp>
    <xdr:clientData/>
  </xdr:twoCellAnchor>
  <xdr:twoCellAnchor>
    <xdr:from>
      <xdr:col>1</xdr:col>
      <xdr:colOff>19050</xdr:colOff>
      <xdr:row>135</xdr:row>
      <xdr:rowOff>152400</xdr:rowOff>
    </xdr:from>
    <xdr:to>
      <xdr:col>8</xdr:col>
      <xdr:colOff>0</xdr:colOff>
      <xdr:row>138</xdr:row>
      <xdr:rowOff>104775</xdr:rowOff>
    </xdr:to>
    <xdr:sp>
      <xdr:nvSpPr>
        <xdr:cNvPr id="30" name="TextBox 93"/>
        <xdr:cNvSpPr txBox="1">
          <a:spLocks noChangeArrowheads="1"/>
        </xdr:cNvSpPr>
      </xdr:nvSpPr>
      <xdr:spPr>
        <a:xfrm>
          <a:off x="295275" y="22088475"/>
          <a:ext cx="625792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11 and 23(a) and below, there were no changes in the composition of the Group during the current quarter under review.</a:t>
          </a:r>
        </a:p>
      </xdr:txBody>
    </xdr:sp>
    <xdr:clientData/>
  </xdr:twoCellAnchor>
  <xdr:twoCellAnchor>
    <xdr:from>
      <xdr:col>1</xdr:col>
      <xdr:colOff>161925</xdr:colOff>
      <xdr:row>61</xdr:row>
      <xdr:rowOff>133350</xdr:rowOff>
    </xdr:from>
    <xdr:to>
      <xdr:col>7</xdr:col>
      <xdr:colOff>1057275</xdr:colOff>
      <xdr:row>66</xdr:row>
      <xdr:rowOff>0</xdr:rowOff>
    </xdr:to>
    <xdr:sp>
      <xdr:nvSpPr>
        <xdr:cNvPr id="31" name="TextBox 102"/>
        <xdr:cNvSpPr txBox="1">
          <a:spLocks noChangeArrowheads="1"/>
        </xdr:cNvSpPr>
      </xdr:nvSpPr>
      <xdr:spPr>
        <a:xfrm>
          <a:off x="438150" y="10067925"/>
          <a:ext cx="610552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issued 23,041,474 new ordinary shares of RM0.10 each at an issue price of RM0.30 per ordinary share amounting to RM6,912,442 as discharge of purchase consideration for acquisition of Unilink Development Limited. Further details of the acquisition are disclosed in Note 23(a)(iv).</a:t>
          </a:r>
        </a:p>
      </xdr:txBody>
    </xdr:sp>
    <xdr:clientData/>
  </xdr:twoCellAnchor>
  <xdr:twoCellAnchor>
    <xdr:from>
      <xdr:col>1</xdr:col>
      <xdr:colOff>161925</xdr:colOff>
      <xdr:row>68</xdr:row>
      <xdr:rowOff>19050</xdr:rowOff>
    </xdr:from>
    <xdr:to>
      <xdr:col>7</xdr:col>
      <xdr:colOff>1057275</xdr:colOff>
      <xdr:row>72</xdr:row>
      <xdr:rowOff>47625</xdr:rowOff>
    </xdr:to>
    <xdr:sp>
      <xdr:nvSpPr>
        <xdr:cNvPr id="32" name="TextBox 103"/>
        <xdr:cNvSpPr txBox="1">
          <a:spLocks noChangeArrowheads="1"/>
        </xdr:cNvSpPr>
      </xdr:nvSpPr>
      <xdr:spPr>
        <a:xfrm>
          <a:off x="438150" y="11087100"/>
          <a:ext cx="610552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issued 23,041,474 new ordinary shares of RM0.10 each at an issue price of RM0.30 per ordinary share amounting to RM6,912,442 as discharge of purchase consideration for acquisition of Hong Kong Broadway Electronics Company Limited. Further details of the acquisition are disclosed in Note 23(a)(iv).</a:t>
          </a:r>
        </a:p>
      </xdr:txBody>
    </xdr:sp>
    <xdr:clientData/>
  </xdr:twoCellAnchor>
  <xdr:twoCellAnchor>
    <xdr:from>
      <xdr:col>1</xdr:col>
      <xdr:colOff>161925</xdr:colOff>
      <xdr:row>75</xdr:row>
      <xdr:rowOff>19050</xdr:rowOff>
    </xdr:from>
    <xdr:to>
      <xdr:col>7</xdr:col>
      <xdr:colOff>1057275</xdr:colOff>
      <xdr:row>78</xdr:row>
      <xdr:rowOff>95250</xdr:rowOff>
    </xdr:to>
    <xdr:sp>
      <xdr:nvSpPr>
        <xdr:cNvPr id="33" name="TextBox 104"/>
        <xdr:cNvSpPr txBox="1">
          <a:spLocks noChangeArrowheads="1"/>
        </xdr:cNvSpPr>
      </xdr:nvSpPr>
      <xdr:spPr>
        <a:xfrm>
          <a:off x="438150" y="12220575"/>
          <a:ext cx="6105525"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May 2007, the Company issued 7,000,000 new ordinary shares of RM0.10 each at an issue price of RM0.42 per ordinary share amounting to RM2,940,000 for the private placement of shares as disclosed in Note 23(a)(iv).</a:t>
          </a:r>
        </a:p>
      </xdr:txBody>
    </xdr:sp>
    <xdr:clientData/>
  </xdr:twoCellAnchor>
  <xdr:twoCellAnchor>
    <xdr:from>
      <xdr:col>1</xdr:col>
      <xdr:colOff>161925</xdr:colOff>
      <xdr:row>141</xdr:row>
      <xdr:rowOff>19050</xdr:rowOff>
    </xdr:from>
    <xdr:to>
      <xdr:col>7</xdr:col>
      <xdr:colOff>1057275</xdr:colOff>
      <xdr:row>148</xdr:row>
      <xdr:rowOff>0</xdr:rowOff>
    </xdr:to>
    <xdr:sp>
      <xdr:nvSpPr>
        <xdr:cNvPr id="34" name="TextBox 105"/>
        <xdr:cNvSpPr txBox="1">
          <a:spLocks noChangeArrowheads="1"/>
        </xdr:cNvSpPr>
      </xdr:nvSpPr>
      <xdr:spPr>
        <a:xfrm>
          <a:off x="438150" y="22926675"/>
          <a:ext cx="6105525" cy="1114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23 April 2007, the Company entered into a Shareholders’ Agreement with Daniel Lim Kim Chuan, Dominica Avril Miji and Adprima Sdn Bhd ("Adprima") (“the Parties”) to carry out the activities of a special projects management consultancy company, performance contracting business and to participate in certain business which the Parties may from time to time agree.  On 11 June 2007, the Company subscribed for 120,000 new ordinary shares of RM1.00 each in Adprima Sdn Bhd for a total cash consideration of RM162,500, representing 60% equity interest in Adprima. </a:t>
          </a:r>
        </a:p>
      </xdr:txBody>
    </xdr:sp>
    <xdr:clientData/>
  </xdr:twoCellAnchor>
  <xdr:twoCellAnchor>
    <xdr:from>
      <xdr:col>1</xdr:col>
      <xdr:colOff>161925</xdr:colOff>
      <xdr:row>150</xdr:row>
      <xdr:rowOff>19050</xdr:rowOff>
    </xdr:from>
    <xdr:to>
      <xdr:col>7</xdr:col>
      <xdr:colOff>1057275</xdr:colOff>
      <xdr:row>160</xdr:row>
      <xdr:rowOff>95250</xdr:rowOff>
    </xdr:to>
    <xdr:sp>
      <xdr:nvSpPr>
        <xdr:cNvPr id="35" name="TextBox 106"/>
        <xdr:cNvSpPr txBox="1">
          <a:spLocks noChangeArrowheads="1"/>
        </xdr:cNvSpPr>
      </xdr:nvSpPr>
      <xdr:spPr>
        <a:xfrm>
          <a:off x="438150" y="24384000"/>
          <a:ext cx="6105525" cy="1695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April 2007, MGB entered into a  Shareholders Agreement with Kok Min Har (“Kok”), a Singaporean investor, to set up a joint venture company known as Securetrax Solutions Pte Ltd (“Securetrax”).  Securetrax was incorporated on 31 January 2007 as a private limited company in the Republic of Singapore with an issued and paid-up share capital of Singapore Dollars (“S$”) 2.00 comprising 2 ordinary shares of S$1.00 each. The principal business activity of Securetrax is the development of a series of products relating to Home Land Security. The Parties agree that the issued and paid-up share capital of Securetrax shall be increased up to SGD 500,000 comprising 500,000 ordinary shares of SGD1.00 each. MGB and Kok shall hold 495,000 and 5,000 ordinary shares respectively. As at the date of this announcement, the issued and paid-up share capital of Securetrax has been increased to SGD 250,000 comprising 250,000 ordinary shares of SGD1.00 each, and MGB has subscribed to 247,500 of the said shares, representing 99% equity interest in Securetrax.</a:t>
          </a:r>
        </a:p>
      </xdr:txBody>
    </xdr:sp>
    <xdr:clientData/>
  </xdr:twoCellAnchor>
  <xdr:twoCellAnchor>
    <xdr:from>
      <xdr:col>1</xdr:col>
      <xdr:colOff>161925</xdr:colOff>
      <xdr:row>163</xdr:row>
      <xdr:rowOff>19050</xdr:rowOff>
    </xdr:from>
    <xdr:to>
      <xdr:col>7</xdr:col>
      <xdr:colOff>1057275</xdr:colOff>
      <xdr:row>167</xdr:row>
      <xdr:rowOff>95250</xdr:rowOff>
    </xdr:to>
    <xdr:sp>
      <xdr:nvSpPr>
        <xdr:cNvPr id="36" name="TextBox 107"/>
        <xdr:cNvSpPr txBox="1">
          <a:spLocks noChangeArrowheads="1"/>
        </xdr:cNvSpPr>
      </xdr:nvSpPr>
      <xdr:spPr>
        <a:xfrm>
          <a:off x="438150" y="26489025"/>
          <a:ext cx="6105525"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acquired 125 ordinary shares of Hong Kong Dollar ("HK$") 1.00 each in Unilink Development Limited ("Unilink") representing 12.5% equity interest in Unilink for a purchase consideration of Renminbi ("RMB") 15,000,000 (equivalent to RM6,912,442) satisfied by the issuance of 23,041,474 new ordinary shares of RM0.10 each in MGB  at an issue price of RM0.30 per ordinary share.</a:t>
          </a:r>
        </a:p>
      </xdr:txBody>
    </xdr:sp>
    <xdr:clientData/>
  </xdr:twoCellAnchor>
  <xdr:twoCellAnchor>
    <xdr:from>
      <xdr:col>1</xdr:col>
      <xdr:colOff>161925</xdr:colOff>
      <xdr:row>172</xdr:row>
      <xdr:rowOff>19050</xdr:rowOff>
    </xdr:from>
    <xdr:to>
      <xdr:col>7</xdr:col>
      <xdr:colOff>1057275</xdr:colOff>
      <xdr:row>176</xdr:row>
      <xdr:rowOff>95250</xdr:rowOff>
    </xdr:to>
    <xdr:sp>
      <xdr:nvSpPr>
        <xdr:cNvPr id="37" name="TextBox 108"/>
        <xdr:cNvSpPr txBox="1">
          <a:spLocks noChangeArrowheads="1"/>
        </xdr:cNvSpPr>
      </xdr:nvSpPr>
      <xdr:spPr>
        <a:xfrm>
          <a:off x="438150" y="27946350"/>
          <a:ext cx="6105525"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acquired 10,000 ordinary shares of HK$1.00 each in HK Broadway Electronics Company Limited ("HK Broadway") representing 100% equity interest in HK Broadway for a purchase consideration of RMB15,000,000 (equivalent to RM6,912,442) satisfied by the issuance of 23,041,474 new ordinary shares of RM0.10 each in MGB  at an issue price of RM0.30 per ordinary share.</a:t>
          </a:r>
        </a:p>
      </xdr:txBody>
    </xdr:sp>
    <xdr:clientData/>
  </xdr:twoCellAnchor>
  <xdr:twoCellAnchor>
    <xdr:from>
      <xdr:col>1</xdr:col>
      <xdr:colOff>161925</xdr:colOff>
      <xdr:row>56</xdr:row>
      <xdr:rowOff>142875</xdr:rowOff>
    </xdr:from>
    <xdr:to>
      <xdr:col>7</xdr:col>
      <xdr:colOff>1057275</xdr:colOff>
      <xdr:row>59</xdr:row>
      <xdr:rowOff>66675</xdr:rowOff>
    </xdr:to>
    <xdr:sp>
      <xdr:nvSpPr>
        <xdr:cNvPr id="38" name="TextBox 109"/>
        <xdr:cNvSpPr txBox="1">
          <a:spLocks noChangeArrowheads="1"/>
        </xdr:cNvSpPr>
      </xdr:nvSpPr>
      <xdr:spPr>
        <a:xfrm>
          <a:off x="438150" y="9267825"/>
          <a:ext cx="610552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increased its authorised share capital from RM50,000,000 to RM100,000,000 through the creation of 500,000,000 ordinary shares of RM0.10 each as disclosed in Note 23(a)(iv).</a:t>
          </a:r>
        </a:p>
      </xdr:txBody>
    </xdr:sp>
    <xdr:clientData/>
  </xdr:twoCellAnchor>
  <xdr:twoCellAnchor>
    <xdr:from>
      <xdr:col>1</xdr:col>
      <xdr:colOff>161925</xdr:colOff>
      <xdr:row>78</xdr:row>
      <xdr:rowOff>152400</xdr:rowOff>
    </xdr:from>
    <xdr:to>
      <xdr:col>7</xdr:col>
      <xdr:colOff>1057275</xdr:colOff>
      <xdr:row>82</xdr:row>
      <xdr:rowOff>95250</xdr:rowOff>
    </xdr:to>
    <xdr:sp>
      <xdr:nvSpPr>
        <xdr:cNvPr id="39" name="TextBox 110"/>
        <xdr:cNvSpPr txBox="1">
          <a:spLocks noChangeArrowheads="1"/>
        </xdr:cNvSpPr>
      </xdr:nvSpPr>
      <xdr:spPr>
        <a:xfrm>
          <a:off x="438150" y="12839700"/>
          <a:ext cx="6105525"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13 June 2007, the Company issued 5,250,000 new ordinary shares of RM0.10 each at an issue price of RM0.42 per ordinary share amounting to RM2,205,000 for the private placement of shares as disclosed in Note 23(a)(iv).</a:t>
          </a:r>
        </a:p>
      </xdr:txBody>
    </xdr:sp>
    <xdr:clientData/>
  </xdr:twoCellAnchor>
  <xdr:twoCellAnchor>
    <xdr:from>
      <xdr:col>1</xdr:col>
      <xdr:colOff>161925</xdr:colOff>
      <xdr:row>119</xdr:row>
      <xdr:rowOff>133350</xdr:rowOff>
    </xdr:from>
    <xdr:to>
      <xdr:col>7</xdr:col>
      <xdr:colOff>1057275</xdr:colOff>
      <xdr:row>122</xdr:row>
      <xdr:rowOff>85725</xdr:rowOff>
    </xdr:to>
    <xdr:sp>
      <xdr:nvSpPr>
        <xdr:cNvPr id="40" name="TextBox 112"/>
        <xdr:cNvSpPr txBox="1">
          <a:spLocks noChangeArrowheads="1"/>
        </xdr:cNvSpPr>
      </xdr:nvSpPr>
      <xdr:spPr>
        <a:xfrm>
          <a:off x="438150" y="19478625"/>
          <a:ext cx="610552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11 July 2007, the Company issued 293,033,955 new ordinary shares of RM0.10 each on the basis of six (6) new ordinary shares for every seven (7) existing ordinary shares held as disclosed in Note 23(a)(iv).</a:t>
          </a:r>
        </a:p>
      </xdr:txBody>
    </xdr:sp>
    <xdr:clientData/>
  </xdr:twoCellAnchor>
  <xdr:twoCellAnchor>
    <xdr:from>
      <xdr:col>1</xdr:col>
      <xdr:colOff>161925</xdr:colOff>
      <xdr:row>125</xdr:row>
      <xdr:rowOff>19050</xdr:rowOff>
    </xdr:from>
    <xdr:to>
      <xdr:col>7</xdr:col>
      <xdr:colOff>1047750</xdr:colOff>
      <xdr:row>133</xdr:row>
      <xdr:rowOff>123825</xdr:rowOff>
    </xdr:to>
    <xdr:sp>
      <xdr:nvSpPr>
        <xdr:cNvPr id="41" name="TextBox 114"/>
        <xdr:cNvSpPr txBox="1">
          <a:spLocks noChangeArrowheads="1"/>
        </xdr:cNvSpPr>
      </xdr:nvSpPr>
      <xdr:spPr>
        <a:xfrm>
          <a:off x="438150" y="20335875"/>
          <a:ext cx="6096000" cy="1400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17 April 2007, MGB announced that the Company had entered into a Share Sale Agreement with the shareholders of Ariantec Sdn Bhd ("Ariantec"), to acquire 600,000 ordinary shares of RM1.00 each in Ariantec representing 40% equity interest in Ariantec for cash consideration of RM5,400,000. MGB had on the even date also entered into a Put Option Agreement with the Vendors whereby MGB has the option to sell the 600,000 Ariantec Shares back to the Vendors for a cash consideration of RM5,400,000 in the event that the Vendors do not fulfill the profit guarantee provided under the Share Sale Agreement. Ariantec is a value-added provider of data network infrastructure and managed security systems and solutions. On 28 August 2007, MGB announced that the acquisition of Ariantec has been completed on 27 August 2007.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9</xdr:col>
      <xdr:colOff>0</xdr:colOff>
      <xdr:row>17</xdr:row>
      <xdr:rowOff>133350</xdr:rowOff>
    </xdr:to>
    <xdr:sp>
      <xdr:nvSpPr>
        <xdr:cNvPr id="1" name="TextBox 2"/>
        <xdr:cNvSpPr txBox="1">
          <a:spLocks noChangeArrowheads="1"/>
        </xdr:cNvSpPr>
      </xdr:nvSpPr>
      <xdr:spPr>
        <a:xfrm>
          <a:off x="228600" y="1314450"/>
          <a:ext cx="6257925" cy="1571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RM10.99 million for the current quarter under review, which is RM14.43 million or 57% lower than the corresponding quarter of RM25.42 million for the previous financial year, mainly due to slower progress of local projects and the fact that certain major projects that contributed substantially to the previous year's revenue are at their completion stage.
The profit before taxation for the current quarter under review is reported at RM0.33 million, which is RM2.66 million or 89% lower than the corresponding quarter of RM3.00 million. The drop in profit before tax is mainly attributable to the drop in revenue and increase in operating expenses as the Company has acquired additional three (3) subsidiaries during the current quarter under review.  </a:t>
          </a:r>
        </a:p>
      </xdr:txBody>
    </xdr:sp>
    <xdr:clientData/>
  </xdr:twoCellAnchor>
  <xdr:twoCellAnchor>
    <xdr:from>
      <xdr:col>1</xdr:col>
      <xdr:colOff>9525</xdr:colOff>
      <xdr:row>52</xdr:row>
      <xdr:rowOff>0</xdr:rowOff>
    </xdr:from>
    <xdr:to>
      <xdr:col>8</xdr:col>
      <xdr:colOff>1047750</xdr:colOff>
      <xdr:row>53</xdr:row>
      <xdr:rowOff>85725</xdr:rowOff>
    </xdr:to>
    <xdr:sp>
      <xdr:nvSpPr>
        <xdr:cNvPr id="2" name="TextBox 7"/>
        <xdr:cNvSpPr txBox="1">
          <a:spLocks noChangeArrowheads="1"/>
        </xdr:cNvSpPr>
      </xdr:nvSpPr>
      <xdr:spPr>
        <a:xfrm>
          <a:off x="228600" y="8534400"/>
          <a:ext cx="62579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2</xdr:col>
      <xdr:colOff>9525</xdr:colOff>
      <xdr:row>72</xdr:row>
      <xdr:rowOff>9525</xdr:rowOff>
    </xdr:from>
    <xdr:to>
      <xdr:col>9</xdr:col>
      <xdr:colOff>0</xdr:colOff>
      <xdr:row>84</xdr:row>
      <xdr:rowOff>66675</xdr:rowOff>
    </xdr:to>
    <xdr:sp>
      <xdr:nvSpPr>
        <xdr:cNvPr id="3" name="TextBox 9"/>
        <xdr:cNvSpPr txBox="1">
          <a:spLocks noChangeArrowheads="1"/>
        </xdr:cNvSpPr>
      </xdr:nvSpPr>
      <xdr:spPr>
        <a:xfrm>
          <a:off x="476250" y="11791950"/>
          <a:ext cx="6010275" cy="20002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 Acquisition of a foreign subsidiary</a:t>
          </a:r>
          <a:r>
            <a:rPr lang="en-US" cap="none" sz="1000" b="0" i="0" u="none" baseline="0">
              <a:latin typeface="Arial"/>
              <a:ea typeface="Arial"/>
              <a:cs typeface="Arial"/>
            </a:rPr>
            <a:t>
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("the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 proposal had been submitted to ISPL proposing variations to certain terms and conditions of the Agreement. As at the date of this announcement, the acquisition is still under negotiation. 
</a:t>
          </a:r>
        </a:p>
      </xdr:txBody>
    </xdr:sp>
    <xdr:clientData/>
  </xdr:twoCellAnchor>
  <xdr:twoCellAnchor>
    <xdr:from>
      <xdr:col>0</xdr:col>
      <xdr:colOff>219075</xdr:colOff>
      <xdr:row>312</xdr:row>
      <xdr:rowOff>0</xdr:rowOff>
    </xdr:from>
    <xdr:to>
      <xdr:col>8</xdr:col>
      <xdr:colOff>1047750</xdr:colOff>
      <xdr:row>314</xdr:row>
      <xdr:rowOff>66675</xdr:rowOff>
    </xdr:to>
    <xdr:sp>
      <xdr:nvSpPr>
        <xdr:cNvPr id="4" name="TextBox 10"/>
        <xdr:cNvSpPr txBox="1">
          <a:spLocks noChangeArrowheads="1"/>
        </xdr:cNvSpPr>
      </xdr:nvSpPr>
      <xdr:spPr>
        <a:xfrm>
          <a:off x="219075" y="51511200"/>
          <a:ext cx="626745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320</xdr:row>
      <xdr:rowOff>0</xdr:rowOff>
    </xdr:from>
    <xdr:to>
      <xdr:col>9</xdr:col>
      <xdr:colOff>0</xdr:colOff>
      <xdr:row>333</xdr:row>
      <xdr:rowOff>95250</xdr:rowOff>
    </xdr:to>
    <xdr:sp>
      <xdr:nvSpPr>
        <xdr:cNvPr id="5" name="TextBox 11"/>
        <xdr:cNvSpPr txBox="1">
          <a:spLocks noChangeArrowheads="1"/>
        </xdr:cNvSpPr>
      </xdr:nvSpPr>
      <xdr:spPr>
        <a:xfrm>
          <a:off x="457200" y="52806600"/>
          <a:ext cx="6029325" cy="2200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Metronic Engineering Sdn Bhd ("MESB") had on 26 September 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MESB had, through its solicitors, filed an application seeking UEM to produce finalisation of accounts between UEM and MESB with regards to the project. The Court has fixed 1 October 2007 as the hearing date for the said application. In the interim, MESB's solicitors had also filed an application by way of writ sepina seeking Daewoo (M) Sdn Bhd ("Daewoo") to produce finalisation of accounts between Daewoo and UEM with regards to the project. The hearing of the said application is fixed on 12</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September 2007. MESB’s solicitors are of the opinion that MESB has a good chance of succeeding in its claim.</a:t>
          </a:r>
        </a:p>
      </xdr:txBody>
    </xdr:sp>
    <xdr:clientData/>
  </xdr:twoCellAnchor>
  <xdr:twoCellAnchor>
    <xdr:from>
      <xdr:col>1</xdr:col>
      <xdr:colOff>9525</xdr:colOff>
      <xdr:row>417</xdr:row>
      <xdr:rowOff>133350</xdr:rowOff>
    </xdr:from>
    <xdr:to>
      <xdr:col>9</xdr:col>
      <xdr:colOff>0</xdr:colOff>
      <xdr:row>420</xdr:row>
      <xdr:rowOff>133350</xdr:rowOff>
    </xdr:to>
    <xdr:sp>
      <xdr:nvSpPr>
        <xdr:cNvPr id="6" name="TextBox 13"/>
        <xdr:cNvSpPr txBox="1">
          <a:spLocks noChangeArrowheads="1"/>
        </xdr:cNvSpPr>
      </xdr:nvSpPr>
      <xdr:spPr>
        <a:xfrm>
          <a:off x="228600" y="68675250"/>
          <a:ext cx="625792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29 August 2007.</a:t>
          </a:r>
        </a:p>
      </xdr:txBody>
    </xdr:sp>
    <xdr:clientData/>
  </xdr:twoCellAnchor>
  <xdr:twoCellAnchor>
    <xdr:from>
      <xdr:col>1</xdr:col>
      <xdr:colOff>9525</xdr:colOff>
      <xdr:row>47</xdr:row>
      <xdr:rowOff>9525</xdr:rowOff>
    </xdr:from>
    <xdr:to>
      <xdr:col>8</xdr:col>
      <xdr:colOff>1047750</xdr:colOff>
      <xdr:row>50</xdr:row>
      <xdr:rowOff>0</xdr:rowOff>
    </xdr:to>
    <xdr:sp>
      <xdr:nvSpPr>
        <xdr:cNvPr id="7" name="TextBox 14"/>
        <xdr:cNvSpPr txBox="1">
          <a:spLocks noChangeArrowheads="1"/>
        </xdr:cNvSpPr>
      </xdr:nvSpPr>
      <xdr:spPr>
        <a:xfrm>
          <a:off x="228600" y="7734300"/>
          <a:ext cx="62579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 for the financial period ended 30 June 2007 presented above is higher than the statutory tax rate principally due to certain expenses not deductible for tax purposes.</a:t>
          </a:r>
        </a:p>
      </xdr:txBody>
    </xdr:sp>
    <xdr:clientData/>
  </xdr:twoCellAnchor>
  <xdr:twoCellAnchor>
    <xdr:from>
      <xdr:col>1</xdr:col>
      <xdr:colOff>9525</xdr:colOff>
      <xdr:row>272</xdr:row>
      <xdr:rowOff>0</xdr:rowOff>
    </xdr:from>
    <xdr:to>
      <xdr:col>8</xdr:col>
      <xdr:colOff>1038225</xdr:colOff>
      <xdr:row>275</xdr:row>
      <xdr:rowOff>66675</xdr:rowOff>
    </xdr:to>
    <xdr:sp>
      <xdr:nvSpPr>
        <xdr:cNvPr id="8" name="TextBox 15"/>
        <xdr:cNvSpPr txBox="1">
          <a:spLocks noChangeArrowheads="1"/>
        </xdr:cNvSpPr>
      </xdr:nvSpPr>
      <xdr:spPr>
        <a:xfrm>
          <a:off x="228600" y="44519850"/>
          <a:ext cx="62484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have been utilised as follows:
</a:t>
          </a:r>
        </a:p>
      </xdr:txBody>
    </xdr:sp>
    <xdr:clientData/>
  </xdr:twoCellAnchor>
  <xdr:twoCellAnchor>
    <xdr:from>
      <xdr:col>1</xdr:col>
      <xdr:colOff>9525</xdr:colOff>
      <xdr:row>34</xdr:row>
      <xdr:rowOff>152400</xdr:rowOff>
    </xdr:from>
    <xdr:to>
      <xdr:col>8</xdr:col>
      <xdr:colOff>1047750</xdr:colOff>
      <xdr:row>36</xdr:row>
      <xdr:rowOff>85725</xdr:rowOff>
    </xdr:to>
    <xdr:sp>
      <xdr:nvSpPr>
        <xdr:cNvPr id="9" name="TextBox 16"/>
        <xdr:cNvSpPr txBox="1">
          <a:spLocks noChangeArrowheads="1"/>
        </xdr:cNvSpPr>
      </xdr:nvSpPr>
      <xdr:spPr>
        <a:xfrm>
          <a:off x="228600" y="5762625"/>
          <a:ext cx="6257925"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0</xdr:colOff>
      <xdr:row>85</xdr:row>
      <xdr:rowOff>0</xdr:rowOff>
    </xdr:from>
    <xdr:to>
      <xdr:col>8</xdr:col>
      <xdr:colOff>1047750</xdr:colOff>
      <xdr:row>85</xdr:row>
      <xdr:rowOff>0</xdr:rowOff>
    </xdr:to>
    <xdr:sp>
      <xdr:nvSpPr>
        <xdr:cNvPr id="10" name="TextBox 18"/>
        <xdr:cNvSpPr txBox="1">
          <a:spLocks noChangeArrowheads="1"/>
        </xdr:cNvSpPr>
      </xdr:nvSpPr>
      <xdr:spPr>
        <a:xfrm>
          <a:off x="219075" y="13887450"/>
          <a:ext cx="6267450"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315</xdr:row>
      <xdr:rowOff>0</xdr:rowOff>
    </xdr:from>
    <xdr:to>
      <xdr:col>8</xdr:col>
      <xdr:colOff>1047750</xdr:colOff>
      <xdr:row>315</xdr:row>
      <xdr:rowOff>0</xdr:rowOff>
    </xdr:to>
    <xdr:sp>
      <xdr:nvSpPr>
        <xdr:cNvPr id="11" name="TextBox 19"/>
        <xdr:cNvSpPr txBox="1">
          <a:spLocks noChangeArrowheads="1"/>
        </xdr:cNvSpPr>
      </xdr:nvSpPr>
      <xdr:spPr>
        <a:xfrm>
          <a:off x="228600" y="51996975"/>
          <a:ext cx="6257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402</xdr:row>
      <xdr:rowOff>9525</xdr:rowOff>
    </xdr:from>
    <xdr:to>
      <xdr:col>8</xdr:col>
      <xdr:colOff>1047750</xdr:colOff>
      <xdr:row>403</xdr:row>
      <xdr:rowOff>95250</xdr:rowOff>
    </xdr:to>
    <xdr:sp>
      <xdr:nvSpPr>
        <xdr:cNvPr id="12" name="TextBox 31"/>
        <xdr:cNvSpPr txBox="1">
          <a:spLocks noChangeArrowheads="1"/>
        </xdr:cNvSpPr>
      </xdr:nvSpPr>
      <xdr:spPr>
        <a:xfrm>
          <a:off x="238125" y="66113025"/>
          <a:ext cx="62484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declared or recommended in respect of the quarter under review. </a:t>
          </a:r>
          <a:r>
            <a:rPr lang="en-US" cap="none" sz="1000" b="0" i="0" u="none" baseline="0">
              <a:latin typeface="Arial"/>
              <a:ea typeface="Arial"/>
              <a:cs typeface="Arial"/>
            </a:rPr>
            <a:t>
</a:t>
          </a:r>
        </a:p>
      </xdr:txBody>
    </xdr:sp>
    <xdr:clientData/>
  </xdr:twoCellAnchor>
  <xdr:twoCellAnchor>
    <xdr:from>
      <xdr:col>2</xdr:col>
      <xdr:colOff>28575</xdr:colOff>
      <xdr:row>402</xdr:row>
      <xdr:rowOff>0</xdr:rowOff>
    </xdr:from>
    <xdr:to>
      <xdr:col>8</xdr:col>
      <xdr:colOff>1047750</xdr:colOff>
      <xdr:row>402</xdr:row>
      <xdr:rowOff>0</xdr:rowOff>
    </xdr:to>
    <xdr:sp>
      <xdr:nvSpPr>
        <xdr:cNvPr id="13" name="TextBox 32"/>
        <xdr:cNvSpPr txBox="1">
          <a:spLocks noChangeArrowheads="1"/>
        </xdr:cNvSpPr>
      </xdr:nvSpPr>
      <xdr:spPr>
        <a:xfrm>
          <a:off x="495300" y="661035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317</xdr:row>
      <xdr:rowOff>0</xdr:rowOff>
    </xdr:from>
    <xdr:to>
      <xdr:col>8</xdr:col>
      <xdr:colOff>1047750</xdr:colOff>
      <xdr:row>319</xdr:row>
      <xdr:rowOff>66675</xdr:rowOff>
    </xdr:to>
    <xdr:sp>
      <xdr:nvSpPr>
        <xdr:cNvPr id="14" name="TextBox 33"/>
        <xdr:cNvSpPr txBox="1">
          <a:spLocks noChangeArrowheads="1"/>
        </xdr:cNvSpPr>
      </xdr:nvSpPr>
      <xdr:spPr>
        <a:xfrm>
          <a:off x="228600" y="52320825"/>
          <a:ext cx="6257925"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material litigation, including the status of pending material litigation since the last annual balance sheet date of 31 December 2006, except as disclosed below:
</a:t>
          </a:r>
        </a:p>
      </xdr:txBody>
    </xdr:sp>
    <xdr:clientData/>
  </xdr:twoCellAnchor>
  <xdr:twoCellAnchor>
    <xdr:from>
      <xdr:col>1</xdr:col>
      <xdr:colOff>0</xdr:colOff>
      <xdr:row>69</xdr:row>
      <xdr:rowOff>142875</xdr:rowOff>
    </xdr:from>
    <xdr:to>
      <xdr:col>8</xdr:col>
      <xdr:colOff>1047750</xdr:colOff>
      <xdr:row>71</xdr:row>
      <xdr:rowOff>95250</xdr:rowOff>
    </xdr:to>
    <xdr:sp>
      <xdr:nvSpPr>
        <xdr:cNvPr id="15" name="TextBox 43"/>
        <xdr:cNvSpPr txBox="1">
          <a:spLocks noChangeArrowheads="1"/>
        </xdr:cNvSpPr>
      </xdr:nvSpPr>
      <xdr:spPr>
        <a:xfrm>
          <a:off x="219075" y="11439525"/>
          <a:ext cx="6267450"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the corporate proposals announced but not completed as at the date of this announcement: 
</a:t>
          </a:r>
        </a:p>
      </xdr:txBody>
    </xdr:sp>
    <xdr:clientData/>
  </xdr:twoCellAnchor>
  <xdr:twoCellAnchor>
    <xdr:from>
      <xdr:col>2</xdr:col>
      <xdr:colOff>9525</xdr:colOff>
      <xdr:row>125</xdr:row>
      <xdr:rowOff>9525</xdr:rowOff>
    </xdr:from>
    <xdr:to>
      <xdr:col>9</xdr:col>
      <xdr:colOff>0</xdr:colOff>
      <xdr:row>128</xdr:row>
      <xdr:rowOff>85725</xdr:rowOff>
    </xdr:to>
    <xdr:sp>
      <xdr:nvSpPr>
        <xdr:cNvPr id="16" name="TextBox 45"/>
        <xdr:cNvSpPr txBox="1">
          <a:spLocks noChangeArrowheads="1"/>
        </xdr:cNvSpPr>
      </xdr:nvSpPr>
      <xdr:spPr>
        <a:xfrm>
          <a:off x="476250" y="20373975"/>
          <a:ext cx="6010275"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August 2006, the Company had, via its advisor, HWANGDBS Investment Bank Berhad (formerly known as Hwang-DBS Investment Bank Berhad) (formerly known as Hwang-DBS Securities Berhad) ("HWANGDBS")  announced the following proposals:
</a:t>
          </a:r>
        </a:p>
      </xdr:txBody>
    </xdr:sp>
    <xdr:clientData/>
  </xdr:twoCellAnchor>
  <xdr:twoCellAnchor>
    <xdr:from>
      <xdr:col>2</xdr:col>
      <xdr:colOff>9525</xdr:colOff>
      <xdr:row>334</xdr:row>
      <xdr:rowOff>0</xdr:rowOff>
    </xdr:from>
    <xdr:to>
      <xdr:col>8</xdr:col>
      <xdr:colOff>1047750</xdr:colOff>
      <xdr:row>343</xdr:row>
      <xdr:rowOff>123825</xdr:rowOff>
    </xdr:to>
    <xdr:sp>
      <xdr:nvSpPr>
        <xdr:cNvPr id="17" name="TextBox 46"/>
        <xdr:cNvSpPr txBox="1">
          <a:spLocks noChangeArrowheads="1"/>
        </xdr:cNvSpPr>
      </xdr:nvSpPr>
      <xdr:spPr>
        <a:xfrm>
          <a:off x="476250" y="55073550"/>
          <a:ext cx="6010275" cy="1581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Lee Bee Leng &amp; two (2) others vs (1) MESB and (2) University Teknologi Petronas. On 15 November 2005, MESB, being the first (1st) defendant was served with a Writ of Summons dated 24 October 2005 by Lee Bee Leng &amp; two (2) others (“Plaintiffs”) claiming for among others general damages amounting to RM500,000.00 or to be taxed  by the court (“Negligence Claim”) and special damages amounting to RM403,550.00 (“Dependency Claim”) due to the death of the 1st Plaintiff’s husband and 2nd &amp; 3rd Plaintiff’s father. The maximum exposure to liabilities of MESB and University Teknologi Petronas (“UTP”) is therefore estimated at RM903,550.00. The Plaintiffs claimed that the death was caused by the alleged negligence of MESB and UTP. A Statement of Defence was filed with the High Court of Malaysia in Ipoh on 11 January 2006 by MESB’s solicitors. A reply to the Statement of Defence was dated 10 February 2006. 
</a:t>
          </a:r>
        </a:p>
      </xdr:txBody>
    </xdr:sp>
    <xdr:clientData/>
  </xdr:twoCellAnchor>
  <xdr:twoCellAnchor>
    <xdr:from>
      <xdr:col>1</xdr:col>
      <xdr:colOff>9525</xdr:colOff>
      <xdr:row>20</xdr:row>
      <xdr:rowOff>104775</xdr:rowOff>
    </xdr:from>
    <xdr:to>
      <xdr:col>9</xdr:col>
      <xdr:colOff>0</xdr:colOff>
      <xdr:row>24</xdr:row>
      <xdr:rowOff>142875</xdr:rowOff>
    </xdr:to>
    <xdr:sp>
      <xdr:nvSpPr>
        <xdr:cNvPr id="18" name="TextBox 47"/>
        <xdr:cNvSpPr txBox="1">
          <a:spLocks noChangeArrowheads="1"/>
        </xdr:cNvSpPr>
      </xdr:nvSpPr>
      <xdr:spPr>
        <a:xfrm>
          <a:off x="228600" y="3362325"/>
          <a:ext cx="62579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 for the current quarter ended 30 June 2007 of RM0.33 million represents a drop of RM2.19 million or 88% from the preceding quarter ended 31 March 2007 of RM2.52 million, which is attributable to lower revenue and higher operating expenses recorded for the current quarter under review.
</a:t>
          </a:r>
        </a:p>
      </xdr:txBody>
    </xdr:sp>
    <xdr:clientData/>
  </xdr:twoCellAnchor>
  <xdr:twoCellAnchor>
    <xdr:from>
      <xdr:col>1</xdr:col>
      <xdr:colOff>19050</xdr:colOff>
      <xdr:row>26</xdr:row>
      <xdr:rowOff>152400</xdr:rowOff>
    </xdr:from>
    <xdr:to>
      <xdr:col>9</xdr:col>
      <xdr:colOff>0</xdr:colOff>
      <xdr:row>32</xdr:row>
      <xdr:rowOff>19050</xdr:rowOff>
    </xdr:to>
    <xdr:sp>
      <xdr:nvSpPr>
        <xdr:cNvPr id="19" name="TextBox 48"/>
        <xdr:cNvSpPr txBox="1">
          <a:spLocks noChangeArrowheads="1"/>
        </xdr:cNvSpPr>
      </xdr:nvSpPr>
      <xdr:spPr>
        <a:xfrm>
          <a:off x="238125" y="4410075"/>
          <a:ext cx="6248400" cy="885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expects increasing contribution from overseas for the next two quarters. With the acquisition of a few companies during the current quarter, the Group also expects to have profit contribution from those companies for the current financial year ending 31 December 2007. Barring any unforseen circumstances, the Directors are of the opinion that the Group should be able to achieve a satisfactory performance for the remaining quarters of the financial year ending 31 December 2007.
</a:t>
          </a:r>
        </a:p>
      </xdr:txBody>
    </xdr:sp>
    <xdr:clientData/>
  </xdr:twoCellAnchor>
  <xdr:twoCellAnchor>
    <xdr:from>
      <xdr:col>2</xdr:col>
      <xdr:colOff>19050</xdr:colOff>
      <xdr:row>87</xdr:row>
      <xdr:rowOff>28575</xdr:rowOff>
    </xdr:from>
    <xdr:to>
      <xdr:col>8</xdr:col>
      <xdr:colOff>1047750</xdr:colOff>
      <xdr:row>100</xdr:row>
      <xdr:rowOff>104775</xdr:rowOff>
    </xdr:to>
    <xdr:sp>
      <xdr:nvSpPr>
        <xdr:cNvPr id="20" name="TextBox 50"/>
        <xdr:cNvSpPr txBox="1">
          <a:spLocks noChangeArrowheads="1"/>
        </xdr:cNvSpPr>
      </xdr:nvSpPr>
      <xdr:spPr>
        <a:xfrm>
          <a:off x="485775" y="14239875"/>
          <a:ext cx="6000750" cy="2181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18 May 2006, MGB announced that the Company had on 17 May 2006 entered into a binding Heads of Agreement with FEELingK Co., Ltd (“FEELingK”) to set up a joint venture company, to be named as FEELingK Malaysia Sdn Bhd (“FKSB”) with the primary objective of deploying Card Notification Solution, Bulk Short Message Services, Voice SMS and the related consultancy, implementation and operations in Malaysia, Pakistan, India, United Arab Emirates, Saudi Arabia, Qatar, Australia, New Zealand and any other countries to be mutually agreed by MGB and FEELingK (“Joint Venture Agreement”).  The shareholdings of the respective joint venture partners shall be as follows: MGB (60%) and FEELingK (40%).  
On 7 July 2006, MGB announced that the Company had on 6 July 2006 acquired 2 ordinary shares of RM1.00 each in FKSB representing 100% of its issued and paid-up share capital for a total cash consideration of RM2.00 from Ng Ah Fong and Teng Mee Leng. On even date, the Company further subscribed 98 ordinary shares of RM1.00 each in FKSB. As at the date of this announcement, both parties are in the midst of finalising a cooperation agreement.</a:t>
          </a:r>
        </a:p>
      </xdr:txBody>
    </xdr:sp>
    <xdr:clientData/>
  </xdr:twoCellAnchor>
  <xdr:twoCellAnchor>
    <xdr:from>
      <xdr:col>2</xdr:col>
      <xdr:colOff>28575</xdr:colOff>
      <xdr:row>107</xdr:row>
      <xdr:rowOff>0</xdr:rowOff>
    </xdr:from>
    <xdr:to>
      <xdr:col>9</xdr:col>
      <xdr:colOff>0</xdr:colOff>
      <xdr:row>120</xdr:row>
      <xdr:rowOff>66675</xdr:rowOff>
    </xdr:to>
    <xdr:sp>
      <xdr:nvSpPr>
        <xdr:cNvPr id="21" name="TextBox 51"/>
        <xdr:cNvSpPr txBox="1">
          <a:spLocks noChangeArrowheads="1"/>
        </xdr:cNvSpPr>
      </xdr:nvSpPr>
      <xdr:spPr>
        <a:xfrm>
          <a:off x="495300" y="17449800"/>
          <a:ext cx="5991225" cy="2171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As at the date of this announcement, an initial approval to set up a Limited Liability Company ("LLC") has been obtained from the Department of Economic Development, Dubai and the LLC is in the midst of being set up.</a:t>
          </a:r>
        </a:p>
      </xdr:txBody>
    </xdr:sp>
    <xdr:clientData/>
  </xdr:twoCellAnchor>
  <xdr:twoCellAnchor>
    <xdr:from>
      <xdr:col>2</xdr:col>
      <xdr:colOff>247650</xdr:colOff>
      <xdr:row>121</xdr:row>
      <xdr:rowOff>19050</xdr:rowOff>
    </xdr:from>
    <xdr:to>
      <xdr:col>8</xdr:col>
      <xdr:colOff>990600</xdr:colOff>
      <xdr:row>124</xdr:row>
      <xdr:rowOff>85725</xdr:rowOff>
    </xdr:to>
    <xdr:sp>
      <xdr:nvSpPr>
        <xdr:cNvPr id="22" name="TextBox 53"/>
        <xdr:cNvSpPr txBox="1">
          <a:spLocks noChangeArrowheads="1"/>
        </xdr:cNvSpPr>
      </xdr:nvSpPr>
      <xdr:spPr>
        <a:xfrm>
          <a:off x="714375" y="19735800"/>
          <a:ext cx="5715000"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a:t>
          </a:r>
        </a:p>
      </xdr:txBody>
    </xdr:sp>
    <xdr:clientData/>
  </xdr:twoCellAnchor>
  <xdr:twoCellAnchor>
    <xdr:from>
      <xdr:col>2</xdr:col>
      <xdr:colOff>238125</xdr:colOff>
      <xdr:row>129</xdr:row>
      <xdr:rowOff>9525</xdr:rowOff>
    </xdr:from>
    <xdr:to>
      <xdr:col>8</xdr:col>
      <xdr:colOff>1047750</xdr:colOff>
      <xdr:row>135</xdr:row>
      <xdr:rowOff>76200</xdr:rowOff>
    </xdr:to>
    <xdr:sp>
      <xdr:nvSpPr>
        <xdr:cNvPr id="23" name="TextBox 55"/>
        <xdr:cNvSpPr txBox="1">
          <a:spLocks noChangeArrowheads="1"/>
        </xdr:cNvSpPr>
      </xdr:nvSpPr>
      <xdr:spPr>
        <a:xfrm>
          <a:off x="704850" y="21021675"/>
          <a:ext cx="578167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125 ordinary shares of Hong Kong Dollar ("HK$") 1.00 each in Unilink Development Limited ("Unilink") ("Unilink Shares") representing 12.5% equity interest in Unilink for a purchase consideration of Renminbi ("RMB") 15,000,000 (equivalent to approximately RM6,912,442 at a foreign exchange rate of RM1.00:RMB2.17) to be satisfied by the issuance of 23,041,474 new ordinary shares of RM0.10 each in MGB ("MGB Shares") at an issue price of RM0.30 per MGB Share ("Proposed Acquisition of Unilink")
</a:t>
          </a:r>
        </a:p>
      </xdr:txBody>
    </xdr:sp>
    <xdr:clientData/>
  </xdr:twoCellAnchor>
  <xdr:twoCellAnchor>
    <xdr:from>
      <xdr:col>2</xdr:col>
      <xdr:colOff>238125</xdr:colOff>
      <xdr:row>136</xdr:row>
      <xdr:rowOff>9525</xdr:rowOff>
    </xdr:from>
    <xdr:to>
      <xdr:col>8</xdr:col>
      <xdr:colOff>1047750</xdr:colOff>
      <xdr:row>141</xdr:row>
      <xdr:rowOff>66675</xdr:rowOff>
    </xdr:to>
    <xdr:sp>
      <xdr:nvSpPr>
        <xdr:cNvPr id="24" name="TextBox 56"/>
        <xdr:cNvSpPr txBox="1">
          <a:spLocks noChangeArrowheads="1"/>
        </xdr:cNvSpPr>
      </xdr:nvSpPr>
      <xdr:spPr>
        <a:xfrm>
          <a:off x="704850" y="22155150"/>
          <a:ext cx="578167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10,000 ordinary shares of HK$1.00 each in HK Broadway Electronics Company Limited ("HK Broadway") ("HK Broadway Shares") representing 100% equity interest in HK Broadway for a purchase consideration of RMB15,000,000 (equivalent to approximately RM6,912,442 at a foreign exchange rate of RM1.00:RMB2.17) to be satisfied by the issuance of 23,041,474 new MGB Shares at an issue price of RM0.30 per MGB Share ("Proposed Acquisition of HK Broadway).
</a:t>
          </a:r>
        </a:p>
      </xdr:txBody>
    </xdr:sp>
    <xdr:clientData/>
  </xdr:twoCellAnchor>
  <xdr:twoCellAnchor>
    <xdr:from>
      <xdr:col>2</xdr:col>
      <xdr:colOff>238125</xdr:colOff>
      <xdr:row>142</xdr:row>
      <xdr:rowOff>9525</xdr:rowOff>
    </xdr:from>
    <xdr:to>
      <xdr:col>8</xdr:col>
      <xdr:colOff>1047750</xdr:colOff>
      <xdr:row>147</xdr:row>
      <xdr:rowOff>381000</xdr:rowOff>
    </xdr:to>
    <xdr:sp>
      <xdr:nvSpPr>
        <xdr:cNvPr id="25" name="TextBox 57"/>
        <xdr:cNvSpPr txBox="1">
          <a:spLocks noChangeArrowheads="1"/>
        </xdr:cNvSpPr>
      </xdr:nvSpPr>
      <xdr:spPr>
        <a:xfrm>
          <a:off x="704850" y="23126700"/>
          <a:ext cx="5781675" cy="1181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call option arrangement between MGB and Zonemax whereby Zonemax has granted MGB a call option to acquire 563 Unilink Shares representing approximately 56.25% equity interest in Unilink for a purchase consideration of RMB67,500,000 (“Call Option”) which shall be satisfied by the issuance of up to 103,686,636 new MGB Shares at an issue price of RM0.30 and/or cash payment to be mutually agreed upon by Zonemax and MGB or, if the Proposed Bonus Issue (as defined hereinafter) is implemented, 182,976,416 new MGB Shares at an issue price of RM0.17 per MGB Share and/or cash payment to be mutually agreed by Zonemax and MGB (“Proposed Call Option”)
</a:t>
          </a:r>
        </a:p>
      </xdr:txBody>
    </xdr:sp>
    <xdr:clientData/>
  </xdr:twoCellAnchor>
  <xdr:twoCellAnchor>
    <xdr:from>
      <xdr:col>2</xdr:col>
      <xdr:colOff>238125</xdr:colOff>
      <xdr:row>148</xdr:row>
      <xdr:rowOff>9525</xdr:rowOff>
    </xdr:from>
    <xdr:to>
      <xdr:col>8</xdr:col>
      <xdr:colOff>1047750</xdr:colOff>
      <xdr:row>152</xdr:row>
      <xdr:rowOff>104775</xdr:rowOff>
    </xdr:to>
    <xdr:sp>
      <xdr:nvSpPr>
        <xdr:cNvPr id="26" name="TextBox 58"/>
        <xdr:cNvSpPr txBox="1">
          <a:spLocks noChangeArrowheads="1"/>
        </xdr:cNvSpPr>
      </xdr:nvSpPr>
      <xdr:spPr>
        <a:xfrm>
          <a:off x="704850" y="24450675"/>
          <a:ext cx="5781675"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private placement of up to 42,531,000 new MGB Shares ("Placement Shares")   representing fifteen percent (15%) of the existing issued and paid-up share capital of MGB at an issue price to be determined based on a discount of not more than ten percent (10%) on the five (5) day volume weighted average market price of Company's Shares ("VWAMP") ("Proposed Private Placement").
</a:t>
          </a:r>
        </a:p>
      </xdr:txBody>
    </xdr:sp>
    <xdr:clientData/>
  </xdr:twoCellAnchor>
  <xdr:twoCellAnchor>
    <xdr:from>
      <xdr:col>2</xdr:col>
      <xdr:colOff>238125</xdr:colOff>
      <xdr:row>162</xdr:row>
      <xdr:rowOff>9525</xdr:rowOff>
    </xdr:from>
    <xdr:to>
      <xdr:col>9</xdr:col>
      <xdr:colOff>0</xdr:colOff>
      <xdr:row>165</xdr:row>
      <xdr:rowOff>114300</xdr:rowOff>
    </xdr:to>
    <xdr:sp>
      <xdr:nvSpPr>
        <xdr:cNvPr id="27" name="TextBox 59"/>
        <xdr:cNvSpPr txBox="1">
          <a:spLocks noChangeArrowheads="1"/>
        </xdr:cNvSpPr>
      </xdr:nvSpPr>
      <xdr:spPr>
        <a:xfrm>
          <a:off x="704850" y="26717625"/>
          <a:ext cx="5781675"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bonus issue of up to 318,989,098 new Company's Shares ("Bonus Shares") to be credited as fully paid-up on the basis of six (6) Bonus Shares for every seven (7) MGB Shares held ("Proposed Bonus Issue").
</a:t>
          </a:r>
        </a:p>
      </xdr:txBody>
    </xdr:sp>
    <xdr:clientData/>
  </xdr:twoCellAnchor>
  <xdr:twoCellAnchor>
    <xdr:from>
      <xdr:col>2</xdr:col>
      <xdr:colOff>238125</xdr:colOff>
      <xdr:row>166</xdr:row>
      <xdr:rowOff>9525</xdr:rowOff>
    </xdr:from>
    <xdr:to>
      <xdr:col>8</xdr:col>
      <xdr:colOff>1047750</xdr:colOff>
      <xdr:row>168</xdr:row>
      <xdr:rowOff>133350</xdr:rowOff>
    </xdr:to>
    <xdr:sp>
      <xdr:nvSpPr>
        <xdr:cNvPr id="28" name="TextBox 60"/>
        <xdr:cNvSpPr txBox="1">
          <a:spLocks noChangeArrowheads="1"/>
        </xdr:cNvSpPr>
      </xdr:nvSpPr>
      <xdr:spPr>
        <a:xfrm>
          <a:off x="704850" y="27365325"/>
          <a:ext cx="578167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increase in the authorised share capital of MGB from RM50,000,000 comprising 500,000,000 MGB Shares to RM100,000,000 comprising 1,000,000,000 Company's Shares ("Proposed IASC")
</a:t>
          </a:r>
        </a:p>
      </xdr:txBody>
    </xdr:sp>
    <xdr:clientData/>
  </xdr:twoCellAnchor>
  <xdr:twoCellAnchor>
    <xdr:from>
      <xdr:col>2</xdr:col>
      <xdr:colOff>238125</xdr:colOff>
      <xdr:row>169</xdr:row>
      <xdr:rowOff>9525</xdr:rowOff>
    </xdr:from>
    <xdr:to>
      <xdr:col>8</xdr:col>
      <xdr:colOff>1047750</xdr:colOff>
      <xdr:row>171</xdr:row>
      <xdr:rowOff>133350</xdr:rowOff>
    </xdr:to>
    <xdr:sp>
      <xdr:nvSpPr>
        <xdr:cNvPr id="29" name="TextBox 61"/>
        <xdr:cNvSpPr txBox="1">
          <a:spLocks noChangeArrowheads="1"/>
        </xdr:cNvSpPr>
      </xdr:nvSpPr>
      <xdr:spPr>
        <a:xfrm>
          <a:off x="704850" y="27851100"/>
          <a:ext cx="578167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amendments to the Memorandum and Articles of Association ("M&amp;A") of Company's ("Proposed M&amp;A Amendments")
</a:t>
          </a:r>
        </a:p>
      </xdr:txBody>
    </xdr:sp>
    <xdr:clientData/>
  </xdr:twoCellAnchor>
  <xdr:twoCellAnchor>
    <xdr:from>
      <xdr:col>2</xdr:col>
      <xdr:colOff>238125</xdr:colOff>
      <xdr:row>172</xdr:row>
      <xdr:rowOff>9525</xdr:rowOff>
    </xdr:from>
    <xdr:to>
      <xdr:col>8</xdr:col>
      <xdr:colOff>1047750</xdr:colOff>
      <xdr:row>175</xdr:row>
      <xdr:rowOff>133350</xdr:rowOff>
    </xdr:to>
    <xdr:sp>
      <xdr:nvSpPr>
        <xdr:cNvPr id="30" name="TextBox 62"/>
        <xdr:cNvSpPr txBox="1">
          <a:spLocks noChangeArrowheads="1"/>
        </xdr:cNvSpPr>
      </xdr:nvSpPr>
      <xdr:spPr>
        <a:xfrm>
          <a:off x="704850" y="28336875"/>
          <a:ext cx="5781675"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transfer of the listing of and quotation for the entire issued and paid-up share capital of the Company from the MESDAQ Market to the Main Board of Bursa Malaysia Securities Berhad ("Bursa Securities") ("Proposed Transfer").
</a:t>
          </a:r>
        </a:p>
      </xdr:txBody>
    </xdr:sp>
    <xdr:clientData/>
  </xdr:twoCellAnchor>
  <xdr:twoCellAnchor>
    <xdr:from>
      <xdr:col>2</xdr:col>
      <xdr:colOff>9525</xdr:colOff>
      <xdr:row>175</xdr:row>
      <xdr:rowOff>133350</xdr:rowOff>
    </xdr:from>
    <xdr:to>
      <xdr:col>9</xdr:col>
      <xdr:colOff>0</xdr:colOff>
      <xdr:row>185</xdr:row>
      <xdr:rowOff>152400</xdr:rowOff>
    </xdr:to>
    <xdr:sp>
      <xdr:nvSpPr>
        <xdr:cNvPr id="31" name="TextBox 63"/>
        <xdr:cNvSpPr txBox="1">
          <a:spLocks noChangeArrowheads="1"/>
        </xdr:cNvSpPr>
      </xdr:nvSpPr>
      <xdr:spPr>
        <a:xfrm>
          <a:off x="476250" y="28946475"/>
          <a:ext cx="6010275" cy="1638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6 November 2006, the Company, via its advisor further announced that the Securities Commission ("SC") (Securities Issues Department and Equity Compliance Unit), had, vide its letter dated 3 November 2006, approved the above Proposals, subject to the conditions as stated in the said announcement. On 24 January 2007, the Company's advisor further announced that SC had vide its letter dated 19 January 2007 approved a revision to certain terms and conditions of the above proposals.
On 26 February 2007, the Company's advisor further announced that Bank Negara Malaysia (“BNM”) had, vide its letter dated 14 February 2007 approved the investment abroad to be made by MGB for the Proposed Acquisition of Unilink and the Proposed Call Option subject to certain conditions.  The Proposed Acquisition of HK Broadway has been registered with BNM. 
</a:t>
          </a:r>
        </a:p>
      </xdr:txBody>
    </xdr:sp>
    <xdr:clientData/>
  </xdr:twoCellAnchor>
  <xdr:twoCellAnchor>
    <xdr:from>
      <xdr:col>1</xdr:col>
      <xdr:colOff>0</xdr:colOff>
      <xdr:row>295</xdr:row>
      <xdr:rowOff>9525</xdr:rowOff>
    </xdr:from>
    <xdr:to>
      <xdr:col>8</xdr:col>
      <xdr:colOff>1047750</xdr:colOff>
      <xdr:row>296</xdr:row>
      <xdr:rowOff>123825</xdr:rowOff>
    </xdr:to>
    <xdr:sp>
      <xdr:nvSpPr>
        <xdr:cNvPr id="32" name="TextBox 64"/>
        <xdr:cNvSpPr txBox="1">
          <a:spLocks noChangeArrowheads="1"/>
        </xdr:cNvSpPr>
      </xdr:nvSpPr>
      <xdr:spPr>
        <a:xfrm>
          <a:off x="219075" y="48748950"/>
          <a:ext cx="6267450"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total borrowings, all of which were secured, as at 30 June 2007 were as follows:-
</a:t>
          </a:r>
        </a:p>
      </xdr:txBody>
    </xdr:sp>
    <xdr:clientData/>
  </xdr:twoCellAnchor>
  <xdr:twoCellAnchor>
    <xdr:from>
      <xdr:col>2</xdr:col>
      <xdr:colOff>19050</xdr:colOff>
      <xdr:row>399</xdr:row>
      <xdr:rowOff>0</xdr:rowOff>
    </xdr:from>
    <xdr:to>
      <xdr:col>8</xdr:col>
      <xdr:colOff>1028700</xdr:colOff>
      <xdr:row>399</xdr:row>
      <xdr:rowOff>0</xdr:rowOff>
    </xdr:to>
    <xdr:sp>
      <xdr:nvSpPr>
        <xdr:cNvPr id="33" name="TextBox 65"/>
        <xdr:cNvSpPr txBox="1">
          <a:spLocks noChangeArrowheads="1"/>
        </xdr:cNvSpPr>
      </xdr:nvSpPr>
      <xdr:spPr>
        <a:xfrm>
          <a:off x="485775" y="65617725"/>
          <a:ext cx="5981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p>
      </xdr:txBody>
    </xdr:sp>
    <xdr:clientData/>
  </xdr:twoCellAnchor>
  <xdr:twoCellAnchor>
    <xdr:from>
      <xdr:col>2</xdr:col>
      <xdr:colOff>19050</xdr:colOff>
      <xdr:row>344</xdr:row>
      <xdr:rowOff>9525</xdr:rowOff>
    </xdr:from>
    <xdr:to>
      <xdr:col>9</xdr:col>
      <xdr:colOff>0</xdr:colOff>
      <xdr:row>354</xdr:row>
      <xdr:rowOff>85725</xdr:rowOff>
    </xdr:to>
    <xdr:sp>
      <xdr:nvSpPr>
        <xdr:cNvPr id="34" name="TextBox 66"/>
        <xdr:cNvSpPr txBox="1">
          <a:spLocks noChangeArrowheads="1"/>
        </xdr:cNvSpPr>
      </xdr:nvSpPr>
      <xdr:spPr>
        <a:xfrm>
          <a:off x="485775" y="56702325"/>
          <a:ext cx="6000750" cy="1704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May 2006, MESB’s solicitors were served with the Plaintiffs’ application for abridgement of time to file a claim in respect of Dependency Claim against MESB. Two (2) affidavits in opposition of the Plaintiffs’ application affirmed on 31 May 2006 and 30 June 2006 have been duly filed on 1 June 2006 and 5 July 2006 respectively at the Ipoh High Court. The Registrar had on 8 September 2006 ruled in favour of the Plaintiffs’ application for extension of time and the cost arisen therefrom will be borne by the Plaintiffs. A notice of appeal to the Judge against the decision of the Registrar dated 13 September 2006 (“Appeal”) had been filed at the High Court. The High Court has asked all parties to file in written submission in respect of the Appeal to the Judge in chambers in respect of the Registrar’s decision to enlarge time for the Plaintiff to file the Writ of Summons. On 15 August 2007, the Court has given a postponement to the decision to be made on the Appeal by MESB as to granting extension of time to the Dependancy Claim.</a:t>
          </a:r>
        </a:p>
      </xdr:txBody>
    </xdr:sp>
    <xdr:clientData/>
  </xdr:twoCellAnchor>
  <xdr:twoCellAnchor>
    <xdr:from>
      <xdr:col>2</xdr:col>
      <xdr:colOff>247650</xdr:colOff>
      <xdr:row>153</xdr:row>
      <xdr:rowOff>0</xdr:rowOff>
    </xdr:from>
    <xdr:to>
      <xdr:col>8</xdr:col>
      <xdr:colOff>990600</xdr:colOff>
      <xdr:row>153</xdr:row>
      <xdr:rowOff>0</xdr:rowOff>
    </xdr:to>
    <xdr:sp>
      <xdr:nvSpPr>
        <xdr:cNvPr id="35" name="TextBox 67"/>
        <xdr:cNvSpPr txBox="1">
          <a:spLocks noChangeArrowheads="1"/>
        </xdr:cNvSpPr>
      </xdr:nvSpPr>
      <xdr:spPr>
        <a:xfrm>
          <a:off x="714375" y="25250775"/>
          <a:ext cx="5715000"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399</xdr:row>
      <xdr:rowOff>0</xdr:rowOff>
    </xdr:from>
    <xdr:to>
      <xdr:col>8</xdr:col>
      <xdr:colOff>1047750</xdr:colOff>
      <xdr:row>399</xdr:row>
      <xdr:rowOff>0</xdr:rowOff>
    </xdr:to>
    <xdr:sp>
      <xdr:nvSpPr>
        <xdr:cNvPr id="36" name="TextBox 71"/>
        <xdr:cNvSpPr txBox="1">
          <a:spLocks noChangeArrowheads="1"/>
        </xdr:cNvSpPr>
      </xdr:nvSpPr>
      <xdr:spPr>
        <a:xfrm>
          <a:off x="485775" y="65617725"/>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p>
      </xdr:txBody>
    </xdr:sp>
    <xdr:clientData/>
  </xdr:twoCellAnchor>
  <xdr:twoCellAnchor>
    <xdr:from>
      <xdr:col>0</xdr:col>
      <xdr:colOff>209550</xdr:colOff>
      <xdr:row>287</xdr:row>
      <xdr:rowOff>0</xdr:rowOff>
    </xdr:from>
    <xdr:to>
      <xdr:col>9</xdr:col>
      <xdr:colOff>0</xdr:colOff>
      <xdr:row>292</xdr:row>
      <xdr:rowOff>123825</xdr:rowOff>
    </xdr:to>
    <xdr:sp>
      <xdr:nvSpPr>
        <xdr:cNvPr id="37" name="TextBox 77"/>
        <xdr:cNvSpPr txBox="1">
          <a:spLocks noChangeArrowheads="1"/>
        </xdr:cNvSpPr>
      </xdr:nvSpPr>
      <xdr:spPr>
        <a:xfrm>
          <a:off x="209550" y="47444025"/>
          <a:ext cx="6276975" cy="933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Due to changes in some of the R&amp;D projects of the Company and its subsidiaries, the Company was not able to fully utilise the proceeds earmarked for R&amp;D expenditure within three years from the date of listing on 24 May 2004. As such, an application was submitted to the SC on 14 May 2007 for an extension of the timeframe for the utilisation of the said balance proceeds of RM608,144 by an additional six months to 24 November 2007. The SC had, via its letter dated 15 June 2007, granted its approval for the Company's application.
</a:t>
          </a:r>
        </a:p>
      </xdr:txBody>
    </xdr:sp>
    <xdr:clientData/>
  </xdr:twoCellAnchor>
  <xdr:twoCellAnchor>
    <xdr:from>
      <xdr:col>1</xdr:col>
      <xdr:colOff>0</xdr:colOff>
      <xdr:row>18</xdr:row>
      <xdr:rowOff>9525</xdr:rowOff>
    </xdr:from>
    <xdr:to>
      <xdr:col>9</xdr:col>
      <xdr:colOff>0</xdr:colOff>
      <xdr:row>20</xdr:row>
      <xdr:rowOff>66675</xdr:rowOff>
    </xdr:to>
    <xdr:sp>
      <xdr:nvSpPr>
        <xdr:cNvPr id="38" name="TextBox 80"/>
        <xdr:cNvSpPr txBox="1">
          <a:spLocks noChangeArrowheads="1"/>
        </xdr:cNvSpPr>
      </xdr:nvSpPr>
      <xdr:spPr>
        <a:xfrm>
          <a:off x="219075" y="2924175"/>
          <a:ext cx="6267450" cy="4000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Material changes in profit before taxation for the current quarter as compared with the preceding quarter</a:t>
          </a:r>
          <a:r>
            <a:rPr lang="en-US" cap="none" sz="1000" b="0" i="0" u="none" baseline="0">
              <a:latin typeface="Arial"/>
              <a:ea typeface="Arial"/>
              <a:cs typeface="Arial"/>
            </a:rPr>
            <a:t>
</a:t>
          </a:r>
        </a:p>
      </xdr:txBody>
    </xdr:sp>
    <xdr:clientData/>
  </xdr:twoCellAnchor>
  <xdr:twoCellAnchor>
    <xdr:from>
      <xdr:col>2</xdr:col>
      <xdr:colOff>0</xdr:colOff>
      <xdr:row>187</xdr:row>
      <xdr:rowOff>19050</xdr:rowOff>
    </xdr:from>
    <xdr:to>
      <xdr:col>9</xdr:col>
      <xdr:colOff>0</xdr:colOff>
      <xdr:row>189</xdr:row>
      <xdr:rowOff>76200</xdr:rowOff>
    </xdr:to>
    <xdr:sp>
      <xdr:nvSpPr>
        <xdr:cNvPr id="39" name="TextBox 81"/>
        <xdr:cNvSpPr txBox="1">
          <a:spLocks noChangeArrowheads="1"/>
        </xdr:cNvSpPr>
      </xdr:nvSpPr>
      <xdr:spPr>
        <a:xfrm>
          <a:off x="466725" y="30775275"/>
          <a:ext cx="601980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the above proposals have been approved by the shareholders of MGB at the Extraordinary General Meeting held on 23 April 2007.</a:t>
          </a:r>
        </a:p>
      </xdr:txBody>
    </xdr:sp>
    <xdr:clientData/>
  </xdr:twoCellAnchor>
  <xdr:twoCellAnchor>
    <xdr:from>
      <xdr:col>2</xdr:col>
      <xdr:colOff>19050</xdr:colOff>
      <xdr:row>355</xdr:row>
      <xdr:rowOff>9525</xdr:rowOff>
    </xdr:from>
    <xdr:to>
      <xdr:col>8</xdr:col>
      <xdr:colOff>1047750</xdr:colOff>
      <xdr:row>360</xdr:row>
      <xdr:rowOff>123825</xdr:rowOff>
    </xdr:to>
    <xdr:sp>
      <xdr:nvSpPr>
        <xdr:cNvPr id="40" name="TextBox 82"/>
        <xdr:cNvSpPr txBox="1">
          <a:spLocks noChangeArrowheads="1"/>
        </xdr:cNvSpPr>
      </xdr:nvSpPr>
      <xdr:spPr>
        <a:xfrm>
          <a:off x="485775" y="58502550"/>
          <a:ext cx="6000750" cy="923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application for striking out the Dependency Claim has been held in abeyance pending the outcome of the Appeal. </a:t>
          </a:r>
        </a:p>
      </xdr:txBody>
    </xdr:sp>
    <xdr:clientData/>
  </xdr:twoCellAnchor>
  <xdr:twoCellAnchor>
    <xdr:from>
      <xdr:col>2</xdr:col>
      <xdr:colOff>19050</xdr:colOff>
      <xdr:row>361</xdr:row>
      <xdr:rowOff>9525</xdr:rowOff>
    </xdr:from>
    <xdr:to>
      <xdr:col>8</xdr:col>
      <xdr:colOff>1047750</xdr:colOff>
      <xdr:row>372</xdr:row>
      <xdr:rowOff>152400</xdr:rowOff>
    </xdr:to>
    <xdr:sp>
      <xdr:nvSpPr>
        <xdr:cNvPr id="41" name="TextBox 83"/>
        <xdr:cNvSpPr txBox="1">
          <a:spLocks noChangeArrowheads="1"/>
        </xdr:cNvSpPr>
      </xdr:nvSpPr>
      <xdr:spPr>
        <a:xfrm>
          <a:off x="485775" y="59474100"/>
          <a:ext cx="6000750" cy="1924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This may be a difficult task for the Plaintiffs as the Plaintiffs do not have personal knowledge of the incident at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a:t>
          </a:r>
        </a:p>
      </xdr:txBody>
    </xdr:sp>
    <xdr:clientData/>
  </xdr:twoCellAnchor>
  <xdr:twoCellAnchor>
    <xdr:from>
      <xdr:col>2</xdr:col>
      <xdr:colOff>19050</xdr:colOff>
      <xdr:row>375</xdr:row>
      <xdr:rowOff>9525</xdr:rowOff>
    </xdr:from>
    <xdr:to>
      <xdr:col>8</xdr:col>
      <xdr:colOff>1047750</xdr:colOff>
      <xdr:row>382</xdr:row>
      <xdr:rowOff>85725</xdr:rowOff>
    </xdr:to>
    <xdr:sp>
      <xdr:nvSpPr>
        <xdr:cNvPr id="42" name="TextBox 85"/>
        <xdr:cNvSpPr txBox="1">
          <a:spLocks noChangeArrowheads="1"/>
        </xdr:cNvSpPr>
      </xdr:nvSpPr>
      <xdr:spPr>
        <a:xfrm>
          <a:off x="485775" y="61741050"/>
          <a:ext cx="6000750" cy="1209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the People's Republic of China ("PRC").  The maximum exposure to MGB is estimated at RM1,751,617.27. </a:t>
          </a:r>
        </a:p>
      </xdr:txBody>
    </xdr:sp>
    <xdr:clientData/>
  </xdr:twoCellAnchor>
  <xdr:twoCellAnchor>
    <xdr:from>
      <xdr:col>2</xdr:col>
      <xdr:colOff>19050</xdr:colOff>
      <xdr:row>383</xdr:row>
      <xdr:rowOff>0</xdr:rowOff>
    </xdr:from>
    <xdr:to>
      <xdr:col>9</xdr:col>
      <xdr:colOff>0</xdr:colOff>
      <xdr:row>399</xdr:row>
      <xdr:rowOff>114300</xdr:rowOff>
    </xdr:to>
    <xdr:sp>
      <xdr:nvSpPr>
        <xdr:cNvPr id="43" name="TextBox 86"/>
        <xdr:cNvSpPr txBox="1">
          <a:spLocks noChangeArrowheads="1"/>
        </xdr:cNvSpPr>
      </xdr:nvSpPr>
      <xdr:spPr>
        <a:xfrm>
          <a:off x="485775" y="63026925"/>
          <a:ext cx="6000750" cy="2705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via a letter dated 5 December 2006 demanded the fulfillment of CWorks' contractual obligation. However, the letter remained unanswered. The decision date is fixed tentatively on 30 August 2007. However, on 27 August 2007, the Plaintiff's solicitors filed a further written submission on the issue that it does not matter whether MGB's representative in the PRC, Mr. Li Ji Chang knew English language or otherwise, but he signed the acceptance of completion of the project and the said argument by CWorks is on a point of law. Due to short of time, the decision may be adjourned for another two weeks. 
Meanwhile, on 9 March 2007, the Plaintiff filed an application for summary judgment.  The Company’s solicitors are of the opinion that the said application is contrary to law and had taken objection towards the said application. The Company’s solicitors had sought for the said application not to be heard till the Conditional Appearance is determined and disposed off. The Company's solicitors are of the opinion that CWorks' claims are premature in nature and in breach of its own actual obligations and that the prospect of defending the suit is good.</a:t>
          </a:r>
        </a:p>
      </xdr:txBody>
    </xdr:sp>
    <xdr:clientData/>
  </xdr:twoCellAnchor>
  <xdr:twoCellAnchor>
    <xdr:from>
      <xdr:col>2</xdr:col>
      <xdr:colOff>247650</xdr:colOff>
      <xdr:row>158</xdr:row>
      <xdr:rowOff>19050</xdr:rowOff>
    </xdr:from>
    <xdr:to>
      <xdr:col>8</xdr:col>
      <xdr:colOff>1028700</xdr:colOff>
      <xdr:row>161</xdr:row>
      <xdr:rowOff>85725</xdr:rowOff>
    </xdr:to>
    <xdr:sp>
      <xdr:nvSpPr>
        <xdr:cNvPr id="44" name="TextBox 87"/>
        <xdr:cNvSpPr txBox="1">
          <a:spLocks noChangeArrowheads="1"/>
        </xdr:cNvSpPr>
      </xdr:nvSpPr>
      <xdr:spPr>
        <a:xfrm>
          <a:off x="714375" y="26079450"/>
          <a:ext cx="5753100"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0</xdr:colOff>
      <xdr:row>268</xdr:row>
      <xdr:rowOff>0</xdr:rowOff>
    </xdr:from>
    <xdr:to>
      <xdr:col>9</xdr:col>
      <xdr:colOff>0</xdr:colOff>
      <xdr:row>268</xdr:row>
      <xdr:rowOff>0</xdr:rowOff>
    </xdr:to>
    <xdr:sp>
      <xdr:nvSpPr>
        <xdr:cNvPr id="45" name="TextBox 88"/>
        <xdr:cNvSpPr txBox="1">
          <a:spLocks noChangeArrowheads="1"/>
        </xdr:cNvSpPr>
      </xdr:nvSpPr>
      <xdr:spPr>
        <a:xfrm>
          <a:off x="466725" y="43872150"/>
          <a:ext cx="6019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latin typeface="Arial"/>
              <a:ea typeface="Arial"/>
              <a:cs typeface="Arial"/>
            </a:rPr>
            <a:t> </a:t>
          </a:r>
          <a:r>
            <a:rPr lang="en-US" cap="none" sz="1000" b="0" i="0" u="none" baseline="0">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latin typeface="Arial"/>
              <a:ea typeface="Arial"/>
              <a:cs typeface="Arial"/>
            </a:rPr>
            <a:t>
</a:t>
          </a:r>
          <a:r>
            <a:rPr lang="en-US" cap="none" sz="1000" b="0" i="0" u="none" baseline="0">
              <a:latin typeface="Arial"/>
              <a:ea typeface="Arial"/>
              <a:cs typeface="Arial"/>
            </a:rPr>
            <a:t/>
          </a:r>
        </a:p>
      </xdr:txBody>
    </xdr:sp>
    <xdr:clientData/>
  </xdr:twoCellAnchor>
  <xdr:twoCellAnchor>
    <xdr:from>
      <xdr:col>2</xdr:col>
      <xdr:colOff>0</xdr:colOff>
      <xdr:row>190</xdr:row>
      <xdr:rowOff>19050</xdr:rowOff>
    </xdr:from>
    <xdr:to>
      <xdr:col>9</xdr:col>
      <xdr:colOff>0</xdr:colOff>
      <xdr:row>196</xdr:row>
      <xdr:rowOff>85725</xdr:rowOff>
    </xdr:to>
    <xdr:sp>
      <xdr:nvSpPr>
        <xdr:cNvPr id="46" name="TextBox 89"/>
        <xdr:cNvSpPr txBox="1">
          <a:spLocks noChangeArrowheads="1"/>
        </xdr:cNvSpPr>
      </xdr:nvSpPr>
      <xdr:spPr>
        <a:xfrm>
          <a:off x="466725" y="31261050"/>
          <a:ext cx="601980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May 2007, the Company, via HWANGDBS announced that Bursa Malaysia Securities Berhad had, vide its letters dated 4 May 2007 granted its approval for the listing and quotation of new MGB shares to be issued pursuant to the Proposed Bonus Issue, Proposed Private Placement, Proposed Acquisitions and Proposed Call Option; and transfer of the Company's entire enlarged issued and paid-up share capital from the MESDAQ Market to the Main Board of Bursa Securities, under the "Technology" sector on a "Ready" basis pursuant to the Rules of Bursa Securities;</a:t>
          </a:r>
        </a:p>
      </xdr:txBody>
    </xdr:sp>
    <xdr:clientData/>
  </xdr:twoCellAnchor>
  <xdr:twoCellAnchor>
    <xdr:from>
      <xdr:col>2</xdr:col>
      <xdr:colOff>247650</xdr:colOff>
      <xdr:row>268</xdr:row>
      <xdr:rowOff>0</xdr:rowOff>
    </xdr:from>
    <xdr:to>
      <xdr:col>9</xdr:col>
      <xdr:colOff>0</xdr:colOff>
      <xdr:row>268</xdr:row>
      <xdr:rowOff>0</xdr:rowOff>
    </xdr:to>
    <xdr:sp>
      <xdr:nvSpPr>
        <xdr:cNvPr id="47" name="TextBox 91"/>
        <xdr:cNvSpPr txBox="1">
          <a:spLocks noChangeArrowheads="1"/>
        </xdr:cNvSpPr>
      </xdr:nvSpPr>
      <xdr:spPr>
        <a:xfrm>
          <a:off x="714375" y="43872150"/>
          <a:ext cx="5772150"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0</xdr:colOff>
      <xdr:row>197</xdr:row>
      <xdr:rowOff>19050</xdr:rowOff>
    </xdr:from>
    <xdr:to>
      <xdr:col>9</xdr:col>
      <xdr:colOff>0</xdr:colOff>
      <xdr:row>207</xdr:row>
      <xdr:rowOff>95250</xdr:rowOff>
    </xdr:to>
    <xdr:sp>
      <xdr:nvSpPr>
        <xdr:cNvPr id="48" name="TextBox 92"/>
        <xdr:cNvSpPr txBox="1">
          <a:spLocks noChangeArrowheads="1"/>
        </xdr:cNvSpPr>
      </xdr:nvSpPr>
      <xdr:spPr>
        <a:xfrm>
          <a:off x="466725" y="32394525"/>
          <a:ext cx="6019800" cy="1695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latin typeface="Arial"/>
              <a:ea typeface="Arial"/>
              <a:cs typeface="Arial"/>
            </a:rPr>
            <a:t> </a:t>
          </a:r>
          <a:r>
            <a:rPr lang="en-US" cap="none" sz="1000" b="0" i="0" u="none" baseline="0">
              <a:latin typeface="Arial"/>
              <a:ea typeface="Arial"/>
              <a:cs typeface="Arial"/>
            </a:rPr>
            <a:t>An application was submitted to the Securities Commission on 14 May 2007 in respect of the Proposed Variation to Call Option and Proposed Variation to Conditionality. The SC had, vide its letter dated 15 June 2007, granted its approval for the Proposed Variation to Conditionality. The Proposed Variation to Call Option and Proposed Variation to Conditionality have been approved by the shareholders at the Extraordinary General Meeting held on 27 June 2007.</a:t>
          </a:r>
          <a:r>
            <a:rPr lang="en-US" cap="none" sz="1000" b="0" i="1" u="none" baseline="0">
              <a:latin typeface="Arial"/>
              <a:ea typeface="Arial"/>
              <a:cs typeface="Arial"/>
            </a:rPr>
            <a:t>
</a:t>
          </a:r>
          <a:r>
            <a:rPr lang="en-US" cap="none" sz="1000" b="0" i="0" u="none" baseline="0">
              <a:latin typeface="Arial"/>
              <a:ea typeface="Arial"/>
              <a:cs typeface="Arial"/>
            </a:rPr>
            <a:t/>
          </a:r>
        </a:p>
      </xdr:txBody>
    </xdr:sp>
    <xdr:clientData/>
  </xdr:twoCellAnchor>
  <xdr:twoCellAnchor>
    <xdr:from>
      <xdr:col>2</xdr:col>
      <xdr:colOff>219075</xdr:colOff>
      <xdr:row>212</xdr:row>
      <xdr:rowOff>19050</xdr:rowOff>
    </xdr:from>
    <xdr:to>
      <xdr:col>8</xdr:col>
      <xdr:colOff>1019175</xdr:colOff>
      <xdr:row>215</xdr:row>
      <xdr:rowOff>85725</xdr:rowOff>
    </xdr:to>
    <xdr:sp>
      <xdr:nvSpPr>
        <xdr:cNvPr id="49" name="TextBox 93"/>
        <xdr:cNvSpPr txBox="1">
          <a:spLocks noChangeArrowheads="1"/>
        </xdr:cNvSpPr>
      </xdr:nvSpPr>
      <xdr:spPr>
        <a:xfrm>
          <a:off x="685800" y="34823400"/>
          <a:ext cx="5772150"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227</xdr:row>
      <xdr:rowOff>152400</xdr:rowOff>
    </xdr:from>
    <xdr:to>
      <xdr:col>8</xdr:col>
      <xdr:colOff>1038225</xdr:colOff>
      <xdr:row>231</xdr:row>
      <xdr:rowOff>123825</xdr:rowOff>
    </xdr:to>
    <xdr:sp>
      <xdr:nvSpPr>
        <xdr:cNvPr id="50" name="TextBox 97"/>
        <xdr:cNvSpPr txBox="1">
          <a:spLocks noChangeArrowheads="1"/>
        </xdr:cNvSpPr>
      </xdr:nvSpPr>
      <xdr:spPr>
        <a:xfrm>
          <a:off x="485775" y="37385625"/>
          <a:ext cx="5991225" cy="619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MGB's entire issued and paid-up share capital of RM63,490,690.30 comprising 634,906,903 ordinary shares of RM0.10 each were transferred from the MESDAQ Market to the Main Board of Bursa Securities under the "Technology" sector on a "Ready" basis pursuant to the Rules of Bursa Securities on 12 July 2007.
</a:t>
          </a:r>
        </a:p>
      </xdr:txBody>
    </xdr:sp>
    <xdr:clientData/>
  </xdr:twoCellAnchor>
  <xdr:twoCellAnchor>
    <xdr:from>
      <xdr:col>2</xdr:col>
      <xdr:colOff>28575</xdr:colOff>
      <xdr:row>232</xdr:row>
      <xdr:rowOff>19050</xdr:rowOff>
    </xdr:from>
    <xdr:to>
      <xdr:col>8</xdr:col>
      <xdr:colOff>1028700</xdr:colOff>
      <xdr:row>239</xdr:row>
      <xdr:rowOff>85725</xdr:rowOff>
    </xdr:to>
    <xdr:sp>
      <xdr:nvSpPr>
        <xdr:cNvPr id="51" name="TextBox 99"/>
        <xdr:cNvSpPr txBox="1">
          <a:spLocks noChangeArrowheads="1"/>
        </xdr:cNvSpPr>
      </xdr:nvSpPr>
      <xdr:spPr>
        <a:xfrm>
          <a:off x="495300" y="38061900"/>
          <a:ext cx="5972175" cy="1200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10 August 2007, HWANGDBS announced that with the exception of the Private Placement, the abovementioned corporate exercises were completed with the transfer of the listing and quotation for the ordinary shares of RM0.10 each in MGB from the MESDAQ market to Main Board of Bursa Securities on 12 July 2007. MGB had on 15 August 2007 submitted an application to the SC to seek a waiver in respect of the placement of second (2nd) tranche of 7,500,000 ordinary shares of RM0.10 each to be issued pursuant to the Private Placement to bumiputra placee(s) ("Placement Shares") as the identified bumiputra placee has informed the Company that he does not wish to subscribe for the Placement Shares. 
</a:t>
          </a:r>
        </a:p>
      </xdr:txBody>
    </xdr:sp>
    <xdr:clientData/>
  </xdr:twoCellAnchor>
  <xdr:twoCellAnchor>
    <xdr:from>
      <xdr:col>2</xdr:col>
      <xdr:colOff>0</xdr:colOff>
      <xdr:row>242</xdr:row>
      <xdr:rowOff>0</xdr:rowOff>
    </xdr:from>
    <xdr:to>
      <xdr:col>8</xdr:col>
      <xdr:colOff>1019175</xdr:colOff>
      <xdr:row>247</xdr:row>
      <xdr:rowOff>85725</xdr:rowOff>
    </xdr:to>
    <xdr:sp>
      <xdr:nvSpPr>
        <xdr:cNvPr id="52" name="TextBox 100"/>
        <xdr:cNvSpPr txBox="1">
          <a:spLocks noChangeArrowheads="1"/>
        </xdr:cNvSpPr>
      </xdr:nvSpPr>
      <xdr:spPr>
        <a:xfrm>
          <a:off x="466725" y="39662100"/>
          <a:ext cx="5991225" cy="895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 August 2007, MGB announced that the Company had on 1 August 2007 entered into a Restructuring Agreement (''the Agreement'') with Zonemax Holdings Limited (''Zonemax''), Newtron Company Limited (''Newtron''), Edmund Chuah Choong Eng Huat (''Edmund Chuah'') and Unilink Development Limited (''Unilink") (collectively the ''Parties'' and individually a ''Party'') to carry out the share swap and the restructuring exercise of Unilink (''Proposed Restructuring'').
</a:t>
          </a:r>
        </a:p>
      </xdr:txBody>
    </xdr:sp>
    <xdr:clientData/>
  </xdr:twoCellAnchor>
  <xdr:twoCellAnchor>
    <xdr:from>
      <xdr:col>2</xdr:col>
      <xdr:colOff>219075</xdr:colOff>
      <xdr:row>240</xdr:row>
      <xdr:rowOff>19050</xdr:rowOff>
    </xdr:from>
    <xdr:to>
      <xdr:col>8</xdr:col>
      <xdr:colOff>1019175</xdr:colOff>
      <xdr:row>241</xdr:row>
      <xdr:rowOff>123825</xdr:rowOff>
    </xdr:to>
    <xdr:sp>
      <xdr:nvSpPr>
        <xdr:cNvPr id="53" name="TextBox 101"/>
        <xdr:cNvSpPr txBox="1">
          <a:spLocks noChangeArrowheads="1"/>
        </xdr:cNvSpPr>
      </xdr:nvSpPr>
      <xdr:spPr>
        <a:xfrm>
          <a:off x="685800" y="39357300"/>
          <a:ext cx="5772150" cy="2667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Restructuring of Unilink Development Limited </a:t>
          </a:r>
        </a:p>
      </xdr:txBody>
    </xdr:sp>
    <xdr:clientData/>
  </xdr:twoCellAnchor>
  <xdr:twoCellAnchor>
    <xdr:from>
      <xdr:col>2</xdr:col>
      <xdr:colOff>0</xdr:colOff>
      <xdr:row>248</xdr:row>
      <xdr:rowOff>0</xdr:rowOff>
    </xdr:from>
    <xdr:to>
      <xdr:col>8</xdr:col>
      <xdr:colOff>1019175</xdr:colOff>
      <xdr:row>249</xdr:row>
      <xdr:rowOff>76200</xdr:rowOff>
    </xdr:to>
    <xdr:sp>
      <xdr:nvSpPr>
        <xdr:cNvPr id="54" name="TextBox 102"/>
        <xdr:cNvSpPr txBox="1">
          <a:spLocks noChangeArrowheads="1"/>
        </xdr:cNvSpPr>
      </xdr:nvSpPr>
      <xdr:spPr>
        <a:xfrm>
          <a:off x="466725" y="40633650"/>
          <a:ext cx="5991225" cy="238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proposed Restructuring entails the following conditions:</a:t>
          </a:r>
        </a:p>
      </xdr:txBody>
    </xdr:sp>
    <xdr:clientData/>
  </xdr:twoCellAnchor>
  <xdr:twoCellAnchor>
    <xdr:from>
      <xdr:col>2</xdr:col>
      <xdr:colOff>295275</xdr:colOff>
      <xdr:row>250</xdr:row>
      <xdr:rowOff>9525</xdr:rowOff>
    </xdr:from>
    <xdr:to>
      <xdr:col>8</xdr:col>
      <xdr:colOff>1028700</xdr:colOff>
      <xdr:row>255</xdr:row>
      <xdr:rowOff>152400</xdr:rowOff>
    </xdr:to>
    <xdr:sp>
      <xdr:nvSpPr>
        <xdr:cNvPr id="55" name="TextBox 103"/>
        <xdr:cNvSpPr txBox="1">
          <a:spLocks noChangeArrowheads="1"/>
        </xdr:cNvSpPr>
      </xdr:nvSpPr>
      <xdr:spPr>
        <a:xfrm>
          <a:off x="762000" y="40967025"/>
          <a:ext cx="5705475" cy="952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MGB proposes to acquire 125 ordinary shares of Hong Kong Dollar (''HK$'') 1.00 each in Unilink (''Unilink Shares'') representing 12.5% equity interest in Unilink from Newtron and/or its nominee; in consideration, MGB shall dispose 10,000 ordinary shares of HK$1.00 each in Hong Kong Broadway Electronics Company Limited (''HK Broadway'') representing 100% equity interest in HK Broadway to Newtron and/or its nominee; ("Proposed Share Swap")
</a:t>
          </a:r>
        </a:p>
      </xdr:txBody>
    </xdr:sp>
    <xdr:clientData/>
  </xdr:twoCellAnchor>
  <xdr:twoCellAnchor>
    <xdr:from>
      <xdr:col>2</xdr:col>
      <xdr:colOff>333375</xdr:colOff>
      <xdr:row>256</xdr:row>
      <xdr:rowOff>0</xdr:rowOff>
    </xdr:from>
    <xdr:to>
      <xdr:col>8</xdr:col>
      <xdr:colOff>1038225</xdr:colOff>
      <xdr:row>259</xdr:row>
      <xdr:rowOff>66675</xdr:rowOff>
    </xdr:to>
    <xdr:sp>
      <xdr:nvSpPr>
        <xdr:cNvPr id="56" name="TextBox 104"/>
        <xdr:cNvSpPr txBox="1">
          <a:spLocks noChangeArrowheads="1"/>
        </xdr:cNvSpPr>
      </xdr:nvSpPr>
      <xdr:spPr>
        <a:xfrm>
          <a:off x="800100" y="41929050"/>
          <a:ext cx="56769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Newtron proposes to sell 25 Unilink Shares representing 2.5% equity interest in Unilink to Edmund Chuah and/or his nominee for a cash consideration, or such mode of payment to be agreed between the parties; and</a:t>
          </a:r>
        </a:p>
      </xdr:txBody>
    </xdr:sp>
    <xdr:clientData/>
  </xdr:twoCellAnchor>
  <xdr:twoCellAnchor>
    <xdr:from>
      <xdr:col>2</xdr:col>
      <xdr:colOff>333375</xdr:colOff>
      <xdr:row>260</xdr:row>
      <xdr:rowOff>0</xdr:rowOff>
    </xdr:from>
    <xdr:to>
      <xdr:col>8</xdr:col>
      <xdr:colOff>1038225</xdr:colOff>
      <xdr:row>264</xdr:row>
      <xdr:rowOff>66675</xdr:rowOff>
    </xdr:to>
    <xdr:sp>
      <xdr:nvSpPr>
        <xdr:cNvPr id="57" name="TextBox 105"/>
        <xdr:cNvSpPr txBox="1">
          <a:spLocks noChangeArrowheads="1"/>
        </xdr:cNvSpPr>
      </xdr:nvSpPr>
      <xdr:spPr>
        <a:xfrm>
          <a:off x="800100" y="42576750"/>
          <a:ext cx="5676900"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Edmund Chuah proposes to sell 190,000 ordinary shares of USD1.00 each in Hangzhou Heng-Ai Electronic Co, Ltd (''Heng-Ai'') representing 5% of the registered capital in Heng-Ai to Unilink, and in consideration, Unilink shall issue 26 new Unilink Shares representing 2.5% equity interest in Unilink to Edmund Chuah.
</a:t>
          </a:r>
        </a:p>
      </xdr:txBody>
    </xdr:sp>
    <xdr:clientData/>
  </xdr:twoCellAnchor>
  <xdr:twoCellAnchor>
    <xdr:from>
      <xdr:col>0</xdr:col>
      <xdr:colOff>47625</xdr:colOff>
      <xdr:row>3</xdr:row>
      <xdr:rowOff>0</xdr:rowOff>
    </xdr:from>
    <xdr:to>
      <xdr:col>8</xdr:col>
      <xdr:colOff>1009650</xdr:colOff>
      <xdr:row>5</xdr:row>
      <xdr:rowOff>57150</xdr:rowOff>
    </xdr:to>
    <xdr:sp>
      <xdr:nvSpPr>
        <xdr:cNvPr id="58" name="TextBox 107"/>
        <xdr:cNvSpPr txBox="1">
          <a:spLocks noChangeArrowheads="1"/>
        </xdr:cNvSpPr>
      </xdr:nvSpPr>
      <xdr:spPr>
        <a:xfrm>
          <a:off x="47625" y="485775"/>
          <a:ext cx="6400800" cy="3810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ADDITIONAL INFORMATION PURSUANT TO THE LISTING REQUIREMENTS OF BURSA MALAYSIA SECURITIES BERHAD</a:t>
          </a:r>
        </a:p>
      </xdr:txBody>
    </xdr:sp>
    <xdr:clientData/>
  </xdr:twoCellAnchor>
  <xdr:twoCellAnchor>
    <xdr:from>
      <xdr:col>2</xdr:col>
      <xdr:colOff>9525</xdr:colOff>
      <xdr:row>216</xdr:row>
      <xdr:rowOff>152400</xdr:rowOff>
    </xdr:from>
    <xdr:to>
      <xdr:col>8</xdr:col>
      <xdr:colOff>1038225</xdr:colOff>
      <xdr:row>220</xdr:row>
      <xdr:rowOff>85725</xdr:rowOff>
    </xdr:to>
    <xdr:sp>
      <xdr:nvSpPr>
        <xdr:cNvPr id="59" name="TextBox 108"/>
        <xdr:cNvSpPr txBox="1">
          <a:spLocks noChangeArrowheads="1"/>
        </xdr:cNvSpPr>
      </xdr:nvSpPr>
      <xdr:spPr>
        <a:xfrm>
          <a:off x="476250" y="35604450"/>
          <a:ext cx="6000750" cy="581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MGB's additional 12,250,000 new ordinary shares of RM0.10 each issued at RM0.42 per share, being a portion or first (1st) tranche of the Private Placement were granted listing and quotation with effect from 29 June 2007.
</a:t>
          </a:r>
        </a:p>
      </xdr:txBody>
    </xdr:sp>
    <xdr:clientData/>
  </xdr:twoCellAnchor>
  <xdr:twoCellAnchor>
    <xdr:from>
      <xdr:col>2</xdr:col>
      <xdr:colOff>9525</xdr:colOff>
      <xdr:row>221</xdr:row>
      <xdr:rowOff>9525</xdr:rowOff>
    </xdr:from>
    <xdr:to>
      <xdr:col>8</xdr:col>
      <xdr:colOff>1038225</xdr:colOff>
      <xdr:row>224</xdr:row>
      <xdr:rowOff>57150</xdr:rowOff>
    </xdr:to>
    <xdr:sp>
      <xdr:nvSpPr>
        <xdr:cNvPr id="60" name="TextBox 109"/>
        <xdr:cNvSpPr txBox="1">
          <a:spLocks noChangeArrowheads="1"/>
        </xdr:cNvSpPr>
      </xdr:nvSpPr>
      <xdr:spPr>
        <a:xfrm>
          <a:off x="476250" y="36271200"/>
          <a:ext cx="6000750"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MGB's additional 46,082,948 new ordinary shares of RM0.10 each issued at RM0.30 pursuant to the acquisition of HK Broadway and Unilink ("Acquisitions") were granted listing and quotation with effect from 12 July 2007.
</a:t>
          </a:r>
        </a:p>
      </xdr:txBody>
    </xdr:sp>
    <xdr:clientData/>
  </xdr:twoCellAnchor>
  <xdr:twoCellAnchor>
    <xdr:from>
      <xdr:col>2</xdr:col>
      <xdr:colOff>19050</xdr:colOff>
      <xdr:row>225</xdr:row>
      <xdr:rowOff>9525</xdr:rowOff>
    </xdr:from>
    <xdr:to>
      <xdr:col>8</xdr:col>
      <xdr:colOff>1038225</xdr:colOff>
      <xdr:row>227</xdr:row>
      <xdr:rowOff>57150</xdr:rowOff>
    </xdr:to>
    <xdr:sp>
      <xdr:nvSpPr>
        <xdr:cNvPr id="61" name="TextBox 110"/>
        <xdr:cNvSpPr txBox="1">
          <a:spLocks noChangeArrowheads="1"/>
        </xdr:cNvSpPr>
      </xdr:nvSpPr>
      <xdr:spPr>
        <a:xfrm>
          <a:off x="485775" y="36918900"/>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MGB's additional 293,033,955 new ordinary shares of RM0.10 each issued pursuant to the Bonus Issue were granted listing and quotation with effect from 12 July 2007.
</a:t>
          </a:r>
        </a:p>
      </xdr:txBody>
    </xdr:sp>
    <xdr:clientData/>
  </xdr:twoCellAnchor>
  <xdr:twoCellAnchor>
    <xdr:from>
      <xdr:col>2</xdr:col>
      <xdr:colOff>9525</xdr:colOff>
      <xdr:row>265</xdr:row>
      <xdr:rowOff>9525</xdr:rowOff>
    </xdr:from>
    <xdr:to>
      <xdr:col>8</xdr:col>
      <xdr:colOff>1028700</xdr:colOff>
      <xdr:row>267</xdr:row>
      <xdr:rowOff>76200</xdr:rowOff>
    </xdr:to>
    <xdr:sp>
      <xdr:nvSpPr>
        <xdr:cNvPr id="62" name="TextBox 111"/>
        <xdr:cNvSpPr txBox="1">
          <a:spLocks noChangeArrowheads="1"/>
        </xdr:cNvSpPr>
      </xdr:nvSpPr>
      <xdr:spPr>
        <a:xfrm>
          <a:off x="476250" y="43395900"/>
          <a:ext cx="599122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Proposed Share Swap is pending the approval from the shareholders of MGB.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0:H18"/>
  <sheetViews>
    <sheetView tabSelected="1" workbookViewId="0" topLeftCell="A1">
      <selection activeCell="I20" sqref="I20"/>
    </sheetView>
  </sheetViews>
  <sheetFormatPr defaultColWidth="9.140625" defaultRowHeight="12.75"/>
  <cols>
    <col min="1" max="1" width="9.28125" style="0" bestFit="1" customWidth="1"/>
  </cols>
  <sheetData>
    <row r="10" spans="2:8" ht="23.25">
      <c r="B10" s="202" t="s">
        <v>98</v>
      </c>
      <c r="C10" s="202"/>
      <c r="D10" s="202"/>
      <c r="E10" s="202"/>
      <c r="F10" s="202"/>
      <c r="G10" s="202"/>
      <c r="H10" s="202"/>
    </row>
    <row r="11" spans="2:8" ht="15" customHeight="1">
      <c r="B11" s="203" t="s">
        <v>99</v>
      </c>
      <c r="C11" s="203"/>
      <c r="D11" s="203"/>
      <c r="E11" s="203"/>
      <c r="F11" s="203"/>
      <c r="G11" s="203"/>
      <c r="H11" s="203"/>
    </row>
    <row r="12" spans="2:8" ht="15" customHeight="1">
      <c r="B12" s="203" t="s">
        <v>100</v>
      </c>
      <c r="C12" s="203"/>
      <c r="D12" s="203"/>
      <c r="E12" s="203"/>
      <c r="F12" s="203"/>
      <c r="G12" s="203"/>
      <c r="H12" s="203"/>
    </row>
    <row r="13" ht="20.25">
      <c r="B13" s="47"/>
    </row>
    <row r="14" spans="2:8" s="48" customFormat="1" ht="18">
      <c r="B14" s="200" t="s">
        <v>102</v>
      </c>
      <c r="C14" s="200"/>
      <c r="D14" s="200"/>
      <c r="E14" s="200"/>
      <c r="F14" s="200"/>
      <c r="G14" s="200"/>
      <c r="H14" s="200"/>
    </row>
    <row r="15" s="48" customFormat="1" ht="18">
      <c r="B15" s="49"/>
    </row>
    <row r="16" spans="2:8" s="48" customFormat="1" ht="18">
      <c r="B16" s="200" t="s">
        <v>210</v>
      </c>
      <c r="C16" s="200"/>
      <c r="D16" s="200"/>
      <c r="E16" s="200"/>
      <c r="F16" s="200"/>
      <c r="G16" s="200"/>
      <c r="H16" s="200"/>
    </row>
    <row r="17" s="48" customFormat="1" ht="18">
      <c r="B17" s="49"/>
    </row>
    <row r="18" spans="2:8" s="48" customFormat="1" ht="18">
      <c r="B18" s="201" t="s">
        <v>248</v>
      </c>
      <c r="C18" s="201"/>
      <c r="D18" s="201"/>
      <c r="E18" s="201"/>
      <c r="F18" s="201"/>
      <c r="G18" s="201"/>
      <c r="H18" s="201"/>
    </row>
  </sheetData>
  <mergeCells count="6">
    <mergeCell ref="B16:H16"/>
    <mergeCell ref="B18:H18"/>
    <mergeCell ref="B10:H10"/>
    <mergeCell ref="B11:H11"/>
    <mergeCell ref="B12:H12"/>
    <mergeCell ref="B14:H14"/>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5"/>
  <sheetViews>
    <sheetView view="pageBreakPreview" zoomScaleSheetLayoutView="100" workbookViewId="0" topLeftCell="A25">
      <selection activeCell="B53" sqref="B53"/>
    </sheetView>
  </sheetViews>
  <sheetFormatPr defaultColWidth="9.140625" defaultRowHeight="12.75"/>
  <cols>
    <col min="1" max="1" width="10.28125" style="2" customWidth="1"/>
    <col min="2" max="2" width="21.140625" style="2" customWidth="1"/>
    <col min="3" max="3" width="5.140625" style="30" bestFit="1" customWidth="1"/>
    <col min="4" max="5" width="13.421875" style="3" customWidth="1"/>
    <col min="6" max="6" width="1.57421875" style="3" customWidth="1"/>
    <col min="7" max="8" width="13.421875" style="3" customWidth="1"/>
    <col min="9" max="9" width="11.421875" style="2" customWidth="1"/>
    <col min="10" max="16384" width="9.140625" style="2" customWidth="1"/>
  </cols>
  <sheetData>
    <row r="1" ht="12.75">
      <c r="A1" s="1" t="s">
        <v>0</v>
      </c>
    </row>
    <row r="2" ht="12.75">
      <c r="A2" s="2" t="s">
        <v>1</v>
      </c>
    </row>
    <row r="4" spans="1:8" s="1" customFormat="1" ht="12.75">
      <c r="A4" s="1" t="s">
        <v>171</v>
      </c>
      <c r="C4" s="43"/>
      <c r="D4" s="4"/>
      <c r="E4" s="4"/>
      <c r="F4" s="4"/>
      <c r="G4" s="4"/>
      <c r="H4" s="4"/>
    </row>
    <row r="5" spans="1:8" s="1" customFormat="1" ht="12.75">
      <c r="A5" s="1" t="s">
        <v>249</v>
      </c>
      <c r="C5" s="43"/>
      <c r="D5" s="4"/>
      <c r="E5" s="4"/>
      <c r="F5" s="4"/>
      <c r="G5" s="4"/>
      <c r="H5" s="4"/>
    </row>
    <row r="6" spans="1:5" ht="12.75">
      <c r="A6" s="2" t="s">
        <v>2</v>
      </c>
      <c r="E6" s="68"/>
    </row>
    <row r="8" spans="4:8" ht="12.75">
      <c r="D8" s="204" t="s">
        <v>132</v>
      </c>
      <c r="E8" s="204"/>
      <c r="F8" s="58"/>
      <c r="G8" s="204" t="s">
        <v>121</v>
      </c>
      <c r="H8" s="204"/>
    </row>
    <row r="9" spans="3:8" ht="12.75">
      <c r="C9" s="43" t="s">
        <v>58</v>
      </c>
      <c r="D9" s="58" t="s">
        <v>250</v>
      </c>
      <c r="E9" s="58" t="s">
        <v>251</v>
      </c>
      <c r="F9" s="58"/>
      <c r="G9" s="58" t="str">
        <f>D9</f>
        <v>30.06.2007</v>
      </c>
      <c r="H9" s="58" t="str">
        <f>E9</f>
        <v>30.06.2006</v>
      </c>
    </row>
    <row r="10" spans="4:8" ht="12.75">
      <c r="D10" s="58"/>
      <c r="E10" s="58"/>
      <c r="F10" s="58"/>
      <c r="G10" s="104"/>
      <c r="H10" s="58" t="s">
        <v>227</v>
      </c>
    </row>
    <row r="11" spans="4:8" ht="12.75">
      <c r="D11" s="58" t="s">
        <v>28</v>
      </c>
      <c r="E11" s="58" t="s">
        <v>28</v>
      </c>
      <c r="F11" s="58"/>
      <c r="G11" s="58" t="s">
        <v>28</v>
      </c>
      <c r="H11" s="58" t="s">
        <v>28</v>
      </c>
    </row>
    <row r="12" spans="4:8" ht="12.75">
      <c r="D12" s="5"/>
      <c r="E12" s="5"/>
      <c r="F12" s="5"/>
      <c r="G12" s="5"/>
      <c r="H12" s="5"/>
    </row>
    <row r="13" spans="1:10" ht="12.75">
      <c r="A13" s="2" t="s">
        <v>3</v>
      </c>
      <c r="D13" s="3">
        <f>G13-17055299</f>
        <v>10986335.66</v>
      </c>
      <c r="E13" s="3">
        <v>25420032</v>
      </c>
      <c r="G13" s="3">
        <v>28041634.66</v>
      </c>
      <c r="H13" s="3">
        <f>25380416+E13</f>
        <v>50800448</v>
      </c>
      <c r="I13" s="81"/>
      <c r="J13" s="82"/>
    </row>
    <row r="15" spans="1:8" ht="12.75">
      <c r="A15" s="2" t="s">
        <v>4</v>
      </c>
      <c r="D15" s="6">
        <f>G15+12107237</f>
        <v>-8055731</v>
      </c>
      <c r="E15" s="6">
        <v>-20340157</v>
      </c>
      <c r="G15" s="6">
        <v>-20162968</v>
      </c>
      <c r="H15" s="6">
        <f>-20336295+E15</f>
        <v>-40676452</v>
      </c>
    </row>
    <row r="17" spans="1:8" ht="12.75">
      <c r="A17" s="2" t="s">
        <v>5</v>
      </c>
      <c r="D17" s="3">
        <f>SUM(D13:D15)</f>
        <v>2930604.66</v>
      </c>
      <c r="E17" s="3">
        <f>SUM(E13:E15)</f>
        <v>5079875</v>
      </c>
      <c r="G17" s="3">
        <f>SUM(G13:G15)</f>
        <v>7878666.66</v>
      </c>
      <c r="H17" s="3">
        <f>SUM(H13:H15)</f>
        <v>10123996</v>
      </c>
    </row>
    <row r="19" spans="1:8" ht="12.75">
      <c r="A19" s="2" t="s">
        <v>6</v>
      </c>
      <c r="D19" s="3">
        <f>G19-43022</f>
        <v>11062.5</v>
      </c>
      <c r="E19" s="3">
        <v>362830</v>
      </c>
      <c r="G19" s="3">
        <v>54084.5</v>
      </c>
      <c r="H19" s="3">
        <f>52950+E19</f>
        <v>415780</v>
      </c>
    </row>
    <row r="20" spans="4:8" ht="12.75">
      <c r="D20" s="11"/>
      <c r="E20" s="11"/>
      <c r="F20" s="11"/>
      <c r="G20" s="11"/>
      <c r="H20" s="11"/>
    </row>
    <row r="21" spans="1:8" ht="12.75">
      <c r="A21" s="2" t="s">
        <v>191</v>
      </c>
      <c r="D21" s="11">
        <f>G21+581916</f>
        <v>-794870.8500000001</v>
      </c>
      <c r="E21" s="110">
        <v>-532592</v>
      </c>
      <c r="F21" s="11"/>
      <c r="G21" s="11">
        <v>-1376786.85</v>
      </c>
      <c r="H21" s="110">
        <f>-517396+E21</f>
        <v>-1049988</v>
      </c>
    </row>
    <row r="22" spans="4:8" ht="12.75">
      <c r="D22" s="11"/>
      <c r="E22" s="110"/>
      <c r="F22" s="11"/>
      <c r="G22" s="11"/>
      <c r="H22" s="110"/>
    </row>
    <row r="23" spans="1:8" ht="12.75">
      <c r="A23" s="2" t="s">
        <v>10</v>
      </c>
      <c r="D23" s="11">
        <f>G23+1854158</f>
        <v>-2258736</v>
      </c>
      <c r="E23" s="110">
        <v>-1896755</v>
      </c>
      <c r="F23" s="11"/>
      <c r="G23" s="11">
        <f>-3471900-286445-2634-242583-109332</f>
        <v>-4112894</v>
      </c>
      <c r="H23" s="110">
        <f>-1726646-339405+E23</f>
        <v>-3962806</v>
      </c>
    </row>
    <row r="24" spans="4:8" ht="12.75">
      <c r="D24" s="11"/>
      <c r="E24" s="11"/>
      <c r="F24" s="11"/>
      <c r="G24" s="11"/>
      <c r="H24" s="11"/>
    </row>
    <row r="25" spans="1:8" ht="12.75">
      <c r="A25" s="2" t="s">
        <v>52</v>
      </c>
      <c r="D25" s="3">
        <f>G25+52369</f>
        <v>-53901</v>
      </c>
      <c r="E25" s="3">
        <v>-49604</v>
      </c>
      <c r="G25" s="3">
        <v>-106270</v>
      </c>
      <c r="H25" s="3">
        <f>-27275+E25</f>
        <v>-76879</v>
      </c>
    </row>
    <row r="26" spans="4:8" ht="12.75">
      <c r="D26" s="11"/>
      <c r="E26" s="11"/>
      <c r="F26" s="11"/>
      <c r="G26" s="11"/>
      <c r="H26" s="11"/>
    </row>
    <row r="27" spans="1:8" ht="12.75">
      <c r="A27" s="2" t="s">
        <v>7</v>
      </c>
      <c r="D27" s="11">
        <f>G27-17626</f>
        <v>43802</v>
      </c>
      <c r="E27" s="11">
        <v>31980</v>
      </c>
      <c r="F27" s="11"/>
      <c r="G27" s="11">
        <v>61428</v>
      </c>
      <c r="H27" s="11">
        <f>16165+E27</f>
        <v>48145</v>
      </c>
    </row>
    <row r="28" spans="4:7" ht="12.75">
      <c r="D28" s="11"/>
      <c r="F28" s="11"/>
      <c r="G28" s="11"/>
    </row>
    <row r="29" spans="1:8" ht="12.75">
      <c r="A29" s="2" t="s">
        <v>322</v>
      </c>
      <c r="C29" s="2"/>
      <c r="D29" s="6">
        <f>G29</f>
        <v>456416</v>
      </c>
      <c r="E29" s="62">
        <v>0</v>
      </c>
      <c r="F29" s="2"/>
      <c r="G29" s="6">
        <v>456416</v>
      </c>
      <c r="H29" s="62">
        <v>0</v>
      </c>
    </row>
    <row r="30" spans="4:8" ht="12.75">
      <c r="D30" s="11"/>
      <c r="E30" s="11"/>
      <c r="F30" s="11"/>
      <c r="G30" s="11"/>
      <c r="H30" s="11"/>
    </row>
    <row r="31" spans="1:10" ht="12.75">
      <c r="A31" s="2" t="s">
        <v>228</v>
      </c>
      <c r="D31" s="3">
        <f>SUM(D17:D29)</f>
        <v>334377.31000000006</v>
      </c>
      <c r="E31" s="3">
        <f>SUM(E17:E29)</f>
        <v>2995734</v>
      </c>
      <c r="F31" s="3">
        <f>SUM(F17:F28)</f>
        <v>0</v>
      </c>
      <c r="G31" s="3">
        <f>SUM(G17:G29)</f>
        <v>2854644.3100000005</v>
      </c>
      <c r="H31" s="3">
        <f>SUM(H17:H29)</f>
        <v>5498248</v>
      </c>
      <c r="I31" s="81"/>
      <c r="J31" s="82"/>
    </row>
    <row r="33" spans="1:8" ht="12.75">
      <c r="A33" s="2" t="s">
        <v>8</v>
      </c>
      <c r="C33" s="30">
        <v>20</v>
      </c>
      <c r="D33" s="11">
        <f>G33+914000</f>
        <v>-64200</v>
      </c>
      <c r="E33" s="11">
        <v>-902237</v>
      </c>
      <c r="F33" s="11"/>
      <c r="G33" s="11">
        <f>-'Notes-B'!I46</f>
        <v>-978200</v>
      </c>
      <c r="H33" s="11">
        <f>-882611+E33</f>
        <v>-1784848</v>
      </c>
    </row>
    <row r="34" spans="4:8" ht="12.75">
      <c r="D34" s="6"/>
      <c r="E34" s="6"/>
      <c r="F34" s="11"/>
      <c r="G34" s="6"/>
      <c r="H34" s="6"/>
    </row>
    <row r="35" spans="1:8" ht="13.5" thickBot="1">
      <c r="A35" s="2" t="s">
        <v>128</v>
      </c>
      <c r="D35" s="10">
        <f>SUM(D31:D33)</f>
        <v>270177.31000000006</v>
      </c>
      <c r="E35" s="10">
        <f>SUM(E31:E33)</f>
        <v>2093497</v>
      </c>
      <c r="F35" s="11"/>
      <c r="G35" s="10">
        <f>SUM(G31:G33)</f>
        <v>1876444.3100000005</v>
      </c>
      <c r="H35" s="10">
        <f>SUM(H31:H33)</f>
        <v>3713400</v>
      </c>
    </row>
    <row r="36" spans="4:8" ht="13.5" thickTop="1">
      <c r="D36" s="11"/>
      <c r="E36" s="11"/>
      <c r="G36" s="11"/>
      <c r="H36" s="11"/>
    </row>
    <row r="37" spans="4:8" ht="12.75">
      <c r="D37" s="11"/>
      <c r="E37" s="11"/>
      <c r="G37" s="11"/>
      <c r="H37" s="11"/>
    </row>
    <row r="38" spans="1:8" ht="12.75">
      <c r="A38" s="2" t="s">
        <v>179</v>
      </c>
      <c r="D38" s="11"/>
      <c r="E38" s="11"/>
      <c r="G38" s="11"/>
      <c r="H38" s="11"/>
    </row>
    <row r="39" spans="4:8" ht="12.75">
      <c r="D39" s="11"/>
      <c r="E39" s="11"/>
      <c r="G39" s="11"/>
      <c r="H39" s="11"/>
    </row>
    <row r="40" spans="1:8" ht="12.75">
      <c r="A40" s="2" t="s">
        <v>178</v>
      </c>
      <c r="D40" s="11">
        <f>D44-D42</f>
        <v>415113.31000000006</v>
      </c>
      <c r="E40" s="11">
        <f>E44-E42</f>
        <v>2123441</v>
      </c>
      <c r="F40" s="11"/>
      <c r="G40" s="11">
        <f>G44-G42</f>
        <v>2150216.3100000005</v>
      </c>
      <c r="H40" s="11">
        <f>H44-H42</f>
        <v>3743344</v>
      </c>
    </row>
    <row r="41" spans="4:8" ht="12.75">
      <c r="D41" s="11"/>
      <c r="E41" s="11"/>
      <c r="F41" s="11"/>
      <c r="G41" s="11"/>
      <c r="H41" s="11"/>
    </row>
    <row r="42" spans="1:8" ht="12.75">
      <c r="A42" s="2" t="s">
        <v>176</v>
      </c>
      <c r="D42" s="11">
        <f>G42+128836</f>
        <v>-144936</v>
      </c>
      <c r="E42" s="11">
        <v>-29944</v>
      </c>
      <c r="F42" s="11">
        <f>SUM(F31:F41)</f>
        <v>0</v>
      </c>
      <c r="G42" s="11">
        <v>-273772</v>
      </c>
      <c r="H42" s="11">
        <f>0+E42</f>
        <v>-29944</v>
      </c>
    </row>
    <row r="43" spans="4:8" ht="12.75">
      <c r="D43" s="11"/>
      <c r="E43" s="11"/>
      <c r="F43" s="11"/>
      <c r="G43" s="11"/>
      <c r="H43" s="11"/>
    </row>
    <row r="44" spans="4:8" ht="13.5" thickBot="1">
      <c r="D44" s="10">
        <f>D35</f>
        <v>270177.31000000006</v>
      </c>
      <c r="E44" s="10">
        <f>E35</f>
        <v>2093497</v>
      </c>
      <c r="F44" s="11"/>
      <c r="G44" s="10">
        <f>G35</f>
        <v>1876444.3100000005</v>
      </c>
      <c r="H44" s="10">
        <f>H35</f>
        <v>3713400</v>
      </c>
    </row>
    <row r="45" spans="4:8" ht="13.5" thickTop="1">
      <c r="D45" s="11"/>
      <c r="E45" s="11"/>
      <c r="F45" s="11"/>
      <c r="G45" s="11"/>
      <c r="H45" s="11"/>
    </row>
    <row r="47" spans="1:8" ht="12.75" hidden="1">
      <c r="A47" s="29" t="s">
        <v>51</v>
      </c>
      <c r="D47" s="3">
        <v>316021311</v>
      </c>
      <c r="E47" s="3">
        <v>283540000</v>
      </c>
      <c r="G47" s="3">
        <v>299860327</v>
      </c>
      <c r="H47" s="3">
        <v>283540000</v>
      </c>
    </row>
    <row r="48" ht="12.75" hidden="1">
      <c r="A48" s="29"/>
    </row>
    <row r="49" ht="12.75" hidden="1">
      <c r="A49" s="29"/>
    </row>
    <row r="50" spans="1:8" ht="12.75">
      <c r="A50" s="2" t="s">
        <v>11</v>
      </c>
      <c r="D50" s="70"/>
      <c r="G50" s="5"/>
      <c r="H50" s="5"/>
    </row>
    <row r="51" spans="2:8" ht="12.75">
      <c r="B51" s="2" t="s">
        <v>59</v>
      </c>
      <c r="D51" s="70">
        <f>D40/D47*100</f>
        <v>0.13135611287936214</v>
      </c>
      <c r="E51" s="70">
        <f>E40/E47*100</f>
        <v>0.7489035056782112</v>
      </c>
      <c r="G51" s="69">
        <f>G40/G47*100</f>
        <v>0.7170726222812398</v>
      </c>
      <c r="H51" s="70">
        <f>H40/H47*100</f>
        <v>1.3202172532975947</v>
      </c>
    </row>
    <row r="52" spans="2:8" ht="12.75">
      <c r="B52" s="2" t="s">
        <v>60</v>
      </c>
      <c r="D52" s="70">
        <f>D51</f>
        <v>0.13135611287936214</v>
      </c>
      <c r="E52" s="75">
        <f>E51</f>
        <v>0.7489035056782112</v>
      </c>
      <c r="G52" s="69">
        <f>G51</f>
        <v>0.7170726222812398</v>
      </c>
      <c r="H52" s="75">
        <f>H51</f>
        <v>1.3202172532975947</v>
      </c>
    </row>
    <row r="53" spans="2:8" ht="12.75">
      <c r="B53" s="24"/>
      <c r="C53" s="35"/>
      <c r="D53" s="11"/>
      <c r="E53" s="11"/>
      <c r="G53" s="5"/>
      <c r="H53" s="5"/>
    </row>
    <row r="54" ht="12.75">
      <c r="G54" s="5"/>
    </row>
    <row r="55" ht="12.75" hidden="1">
      <c r="G55" s="5"/>
    </row>
  </sheetData>
  <mergeCells count="2">
    <mergeCell ref="G8:H8"/>
    <mergeCell ref="D8:E8"/>
  </mergeCells>
  <printOptions horizontalCentered="1"/>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54"/>
  <sheetViews>
    <sheetView view="pageBreakPreview" zoomScaleSheetLayoutView="100" workbookViewId="0" topLeftCell="A18">
      <selection activeCell="C40" sqref="C40"/>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12</v>
      </c>
      <c r="C4" s="43"/>
      <c r="D4" s="4"/>
      <c r="E4" s="4"/>
      <c r="F4" s="4"/>
    </row>
    <row r="5" spans="1:6" s="1" customFormat="1" ht="12.75">
      <c r="A5" s="1" t="s">
        <v>252</v>
      </c>
      <c r="C5" s="43"/>
      <c r="D5" s="4"/>
      <c r="E5" s="4"/>
      <c r="F5" s="4"/>
    </row>
    <row r="6" spans="1:7" s="1" customFormat="1" ht="12.75">
      <c r="A6" s="2" t="s">
        <v>2</v>
      </c>
      <c r="C6" s="43"/>
      <c r="D6" s="4"/>
      <c r="E6" s="4"/>
      <c r="F6" s="58"/>
      <c r="G6" s="43"/>
    </row>
    <row r="7" spans="3:7" ht="12.75">
      <c r="C7" s="43"/>
      <c r="D7" s="58" t="s">
        <v>63</v>
      </c>
      <c r="E7" s="58" t="s">
        <v>63</v>
      </c>
      <c r="F7" s="58"/>
      <c r="G7" s="43" t="s">
        <v>133</v>
      </c>
    </row>
    <row r="8" spans="3:7" ht="12.75">
      <c r="C8" s="43"/>
      <c r="D8" s="58" t="s">
        <v>61</v>
      </c>
      <c r="E8" s="58" t="s">
        <v>61</v>
      </c>
      <c r="F8" s="58" t="s">
        <v>61</v>
      </c>
      <c r="G8" s="43" t="s">
        <v>62</v>
      </c>
    </row>
    <row r="9" spans="3:7" ht="12.75">
      <c r="C9" s="43" t="s">
        <v>58</v>
      </c>
      <c r="D9" s="58" t="s">
        <v>105</v>
      </c>
      <c r="E9" s="58" t="s">
        <v>122</v>
      </c>
      <c r="F9" s="58" t="s">
        <v>250</v>
      </c>
      <c r="G9" s="43" t="s">
        <v>209</v>
      </c>
    </row>
    <row r="10" spans="3:7" ht="12.75">
      <c r="C10" s="43"/>
      <c r="D10" s="58"/>
      <c r="E10" s="58"/>
      <c r="F10" s="58"/>
      <c r="G10" s="58"/>
    </row>
    <row r="11" spans="3:7" ht="12.75">
      <c r="C11" s="43"/>
      <c r="D11" s="58" t="s">
        <v>28</v>
      </c>
      <c r="E11" s="58" t="s">
        <v>28</v>
      </c>
      <c r="F11" s="58" t="s">
        <v>28</v>
      </c>
      <c r="G11" s="58" t="s">
        <v>28</v>
      </c>
    </row>
    <row r="12" spans="4:7" ht="12.75">
      <c r="D12" s="5"/>
      <c r="E12" s="5"/>
      <c r="F12" s="5"/>
      <c r="G12" s="5"/>
    </row>
    <row r="13" spans="1:7" ht="12.75">
      <c r="A13" s="1" t="s">
        <v>152</v>
      </c>
      <c r="D13" s="5"/>
      <c r="E13" s="5"/>
      <c r="F13" s="5"/>
      <c r="G13" s="5"/>
    </row>
    <row r="14" spans="1:6" ht="12.75">
      <c r="A14" s="1" t="s">
        <v>150</v>
      </c>
      <c r="D14" s="8"/>
      <c r="E14" s="8"/>
      <c r="F14" s="8"/>
    </row>
    <row r="15" spans="1:7" ht="12.75">
      <c r="A15" s="2" t="s">
        <v>13</v>
      </c>
      <c r="D15" s="3">
        <v>6287231</v>
      </c>
      <c r="E15" s="3">
        <v>6712693</v>
      </c>
      <c r="F15" s="42">
        <v>11023758</v>
      </c>
      <c r="G15" s="42">
        <v>11119357</v>
      </c>
    </row>
    <row r="16" spans="1:7" ht="12.75">
      <c r="A16" s="2" t="s">
        <v>151</v>
      </c>
      <c r="F16" s="42">
        <v>397116</v>
      </c>
      <c r="G16" s="42">
        <v>399750</v>
      </c>
    </row>
    <row r="17" spans="1:7" ht="12.75">
      <c r="A17" s="2" t="s">
        <v>168</v>
      </c>
      <c r="F17" s="42">
        <v>6954954</v>
      </c>
      <c r="G17" s="42">
        <v>3195231</v>
      </c>
    </row>
    <row r="18" spans="1:7" ht="12.75">
      <c r="A18" s="2" t="s">
        <v>323</v>
      </c>
      <c r="F18" s="42">
        <f>7489702+3848797</f>
        <v>11338499</v>
      </c>
      <c r="G18" s="42">
        <v>0</v>
      </c>
    </row>
    <row r="19" spans="1:7" ht="12.75">
      <c r="A19" s="2" t="s">
        <v>129</v>
      </c>
      <c r="D19" s="3">
        <v>139121</v>
      </c>
      <c r="E19" s="3">
        <v>139121</v>
      </c>
      <c r="F19" s="42">
        <f>4788320-3848797</f>
        <v>939523</v>
      </c>
      <c r="G19" s="42">
        <v>546482</v>
      </c>
    </row>
    <row r="20" spans="1:7" ht="12.75">
      <c r="A20" s="2" t="s">
        <v>56</v>
      </c>
      <c r="D20" s="3">
        <v>970000</v>
      </c>
      <c r="E20" s="3">
        <v>1000000</v>
      </c>
      <c r="F20" s="42">
        <v>1493000</v>
      </c>
      <c r="G20" s="42">
        <v>1371000</v>
      </c>
    </row>
    <row r="21" spans="6:7" ht="12.75">
      <c r="F21" s="59">
        <f>SUM(F15:F20)</f>
        <v>32146850</v>
      </c>
      <c r="G21" s="59">
        <f>SUM(G15:G20)</f>
        <v>16631820</v>
      </c>
    </row>
    <row r="22" spans="6:7" ht="12.75">
      <c r="F22" s="42"/>
      <c r="G22" s="42"/>
    </row>
    <row r="23" spans="1:7" ht="12.75">
      <c r="A23" s="1" t="s">
        <v>14</v>
      </c>
      <c r="F23" s="42"/>
      <c r="G23" s="42"/>
    </row>
    <row r="24" spans="1:7" ht="12.75">
      <c r="A24" s="2" t="s">
        <v>15</v>
      </c>
      <c r="D24" s="3">
        <v>2904663</v>
      </c>
      <c r="E24" s="3">
        <v>2168835</v>
      </c>
      <c r="F24" s="42">
        <v>5281569.83</v>
      </c>
      <c r="G24" s="42">
        <v>4829625</v>
      </c>
    </row>
    <row r="25" spans="1:7" ht="12.75">
      <c r="A25" s="2" t="s">
        <v>16</v>
      </c>
      <c r="D25" s="3">
        <f>14168190+58610575</f>
        <v>72778765</v>
      </c>
      <c r="E25" s="3">
        <f>3468537+66150885</f>
        <v>69619422</v>
      </c>
      <c r="F25" s="42">
        <f>87382571+7150126</f>
        <v>94532697</v>
      </c>
      <c r="G25" s="42">
        <v>101684285</v>
      </c>
    </row>
    <row r="26" spans="1:7" ht="12.75">
      <c r="A26" s="2" t="s">
        <v>17</v>
      </c>
      <c r="D26" s="3">
        <v>1252119</v>
      </c>
      <c r="E26" s="3">
        <f>1136819+90000+181089</f>
        <v>1407908</v>
      </c>
      <c r="F26" s="42">
        <v>3869343</v>
      </c>
      <c r="G26" s="42">
        <v>4195478</v>
      </c>
    </row>
    <row r="27" spans="1:7" ht="12.75">
      <c r="A27" s="2" t="s">
        <v>127</v>
      </c>
      <c r="D27" s="3">
        <v>7708450</v>
      </c>
      <c r="E27" s="3">
        <v>7618246</v>
      </c>
      <c r="F27" s="42">
        <v>6994430</v>
      </c>
      <c r="G27" s="42">
        <v>6815888</v>
      </c>
    </row>
    <row r="28" spans="1:7" ht="12.75">
      <c r="A28" s="2" t="s">
        <v>18</v>
      </c>
      <c r="D28" s="3">
        <v>2463427</v>
      </c>
      <c r="E28" s="3">
        <v>19174435</v>
      </c>
      <c r="F28" s="62">
        <v>3233784</v>
      </c>
      <c r="G28" s="62">
        <v>4148718</v>
      </c>
    </row>
    <row r="29" spans="6:7" ht="12.75">
      <c r="F29" s="60">
        <f>SUM(F24:F28)</f>
        <v>113911823.83</v>
      </c>
      <c r="G29" s="60">
        <f>SUM(G24:G28)</f>
        <v>121673994</v>
      </c>
    </row>
    <row r="30" spans="1:7" ht="13.5" thickBot="1">
      <c r="A30" s="1" t="s">
        <v>155</v>
      </c>
      <c r="D30" s="9">
        <f>SUM(D24:D28)</f>
        <v>87107424</v>
      </c>
      <c r="E30" s="9">
        <f>SUM(E24:E28)</f>
        <v>99988846</v>
      </c>
      <c r="F30" s="63">
        <f>F21+F29</f>
        <v>146058673.82999998</v>
      </c>
      <c r="G30" s="63">
        <f>G21+G29</f>
        <v>138305814</v>
      </c>
    </row>
    <row r="31" spans="4:7" ht="13.5" thickTop="1">
      <c r="D31" s="11"/>
      <c r="E31" s="11"/>
      <c r="F31" s="60"/>
      <c r="G31" s="60"/>
    </row>
    <row r="32" spans="1:7" ht="12.75">
      <c r="A32" s="1" t="s">
        <v>153</v>
      </c>
      <c r="D32" s="11"/>
      <c r="E32" s="11"/>
      <c r="F32" s="60"/>
      <c r="G32" s="60"/>
    </row>
    <row r="33" spans="1:7" ht="12.75">
      <c r="A33" s="1" t="s">
        <v>192</v>
      </c>
      <c r="D33" s="11"/>
      <c r="E33" s="11"/>
      <c r="F33" s="60"/>
      <c r="G33" s="60"/>
    </row>
    <row r="34" spans="1:7" ht="12.75">
      <c r="A34" s="2" t="s">
        <v>24</v>
      </c>
      <c r="D34" s="3">
        <v>21254000</v>
      </c>
      <c r="E34" s="3">
        <v>28354000</v>
      </c>
      <c r="F34" s="42">
        <f>Equity!D46</f>
        <v>34187294</v>
      </c>
      <c r="G34" s="42">
        <v>28354000</v>
      </c>
    </row>
    <row r="35" spans="1:7" ht="12.75">
      <c r="A35" s="2" t="s">
        <v>124</v>
      </c>
      <c r="D35" s="3">
        <v>0</v>
      </c>
      <c r="E35" s="3">
        <v>6433824</v>
      </c>
      <c r="F35" s="42">
        <f>Equity!E46</f>
        <v>18767033</v>
      </c>
      <c r="G35" s="42">
        <v>6406222</v>
      </c>
    </row>
    <row r="36" spans="1:7" ht="12.75">
      <c r="A36" s="2" t="s">
        <v>165</v>
      </c>
      <c r="F36" s="42">
        <f>Equity!F46</f>
        <v>72822</v>
      </c>
      <c r="G36" s="42">
        <v>-51769</v>
      </c>
    </row>
    <row r="37" spans="1:7" ht="12.75">
      <c r="A37" s="2" t="s">
        <v>134</v>
      </c>
      <c r="D37" s="6">
        <v>434293</v>
      </c>
      <c r="E37" s="6">
        <v>3120474</v>
      </c>
      <c r="F37" s="62">
        <f>Equity!G46</f>
        <v>28860520.310000002</v>
      </c>
      <c r="G37" s="62">
        <v>26710304</v>
      </c>
    </row>
    <row r="38" spans="4:7" ht="12.75">
      <c r="D38" s="3">
        <f>SUM(D34:D37)</f>
        <v>21688293</v>
      </c>
      <c r="E38" s="3">
        <f>SUM(E34:E37)</f>
        <v>37908298</v>
      </c>
      <c r="F38" s="84">
        <f>SUM(F34:F37)</f>
        <v>81887669.31</v>
      </c>
      <c r="G38" s="84">
        <f>SUM(G34:G37)</f>
        <v>61418757</v>
      </c>
    </row>
    <row r="39" spans="1:7" ht="12.75">
      <c r="A39" s="1" t="s">
        <v>176</v>
      </c>
      <c r="F39" s="60">
        <v>1084038</v>
      </c>
      <c r="G39" s="60">
        <v>1139138</v>
      </c>
    </row>
    <row r="40" spans="1:7" ht="12.75">
      <c r="A40" s="1" t="s">
        <v>177</v>
      </c>
      <c r="F40" s="59">
        <f>SUM(F38:F39)</f>
        <v>82971707.31</v>
      </c>
      <c r="G40" s="59">
        <f>SUM(G38:G39)</f>
        <v>62557895</v>
      </c>
    </row>
    <row r="41" spans="6:7" ht="12.75">
      <c r="F41" s="60"/>
      <c r="G41" s="60"/>
    </row>
    <row r="42" spans="1:7" ht="12.75">
      <c r="A42" s="1" t="s">
        <v>184</v>
      </c>
      <c r="F42" s="60"/>
      <c r="G42" s="60"/>
    </row>
    <row r="43" spans="1:7" ht="12.75">
      <c r="A43" s="2" t="s">
        <v>229</v>
      </c>
      <c r="F43" s="62">
        <v>97846</v>
      </c>
      <c r="G43" s="62">
        <v>107037</v>
      </c>
    </row>
    <row r="44" spans="6:7" ht="12.75">
      <c r="F44" s="60"/>
      <c r="G44" s="60"/>
    </row>
    <row r="45" spans="1:7" ht="12.75">
      <c r="A45" s="1" t="s">
        <v>19</v>
      </c>
      <c r="F45" s="42"/>
      <c r="G45" s="42"/>
    </row>
    <row r="46" spans="1:7" ht="12.75">
      <c r="A46" s="2" t="s">
        <v>20</v>
      </c>
      <c r="D46" s="3">
        <f>39708627+3055518</f>
        <v>42764145</v>
      </c>
      <c r="E46" s="3">
        <v>40880605</v>
      </c>
      <c r="F46" s="42">
        <v>49885888</v>
      </c>
      <c r="G46" s="42">
        <v>66216200</v>
      </c>
    </row>
    <row r="47" spans="1:7" ht="12.75">
      <c r="A47" s="2" t="s">
        <v>21</v>
      </c>
      <c r="D47" s="3">
        <f>8384266+1738663-75000</f>
        <v>10047929</v>
      </c>
      <c r="E47" s="3">
        <f>8495411+2979531+539058</f>
        <v>12014000</v>
      </c>
      <c r="F47" s="42">
        <f>6036169+23237</f>
        <v>6059406</v>
      </c>
      <c r="G47" s="42">
        <v>5364139</v>
      </c>
    </row>
    <row r="48" spans="1:7" ht="12.75">
      <c r="A48" s="2" t="s">
        <v>22</v>
      </c>
      <c r="C48" s="30">
        <v>24</v>
      </c>
      <c r="D48" s="3">
        <v>10905554</v>
      </c>
      <c r="E48" s="3">
        <v>8890984</v>
      </c>
      <c r="F48" s="42">
        <v>6109625</v>
      </c>
      <c r="G48" s="42">
        <v>3036543</v>
      </c>
    </row>
    <row r="49" spans="1:7" ht="12.75">
      <c r="A49" s="2" t="s">
        <v>23</v>
      </c>
      <c r="D49" s="3">
        <v>4737823</v>
      </c>
      <c r="E49" s="3">
        <v>3857702</v>
      </c>
      <c r="F49" s="62">
        <v>934202</v>
      </c>
      <c r="G49" s="62">
        <v>1024000</v>
      </c>
    </row>
    <row r="50" spans="6:7" ht="12.75">
      <c r="F50" s="42">
        <f>SUM(F46:F49)</f>
        <v>62989121</v>
      </c>
      <c r="G50" s="42">
        <f>SUM(G46:G49)</f>
        <v>75640882</v>
      </c>
    </row>
    <row r="51" spans="1:7" ht="12.75">
      <c r="A51" s="1" t="s">
        <v>156</v>
      </c>
      <c r="D51" s="9">
        <f>SUM(D46:D49)</f>
        <v>68455451</v>
      </c>
      <c r="E51" s="9">
        <f>SUM(E46:E49)</f>
        <v>65643291</v>
      </c>
      <c r="F51" s="59">
        <f>F43+F50</f>
        <v>63086967</v>
      </c>
      <c r="G51" s="59">
        <f>G43+G50</f>
        <v>75747919</v>
      </c>
    </row>
    <row r="52" spans="1:7" ht="13.5" thickBot="1">
      <c r="A52" s="1" t="s">
        <v>154</v>
      </c>
      <c r="D52" s="7" t="e">
        <f>SUM(D15:D20)+#REF!</f>
        <v>#REF!</v>
      </c>
      <c r="E52" s="7" t="e">
        <f>SUM(E15:E20)+#REF!</f>
        <v>#REF!</v>
      </c>
      <c r="F52" s="61">
        <f>F40+F51</f>
        <v>146058674.31</v>
      </c>
      <c r="G52" s="61">
        <f>G40+G51</f>
        <v>138305814</v>
      </c>
    </row>
    <row r="53" spans="1:7" ht="13.5" thickTop="1">
      <c r="A53" s="1"/>
      <c r="D53" s="11"/>
      <c r="E53" s="11"/>
      <c r="F53" s="60"/>
      <c r="G53" s="60"/>
    </row>
    <row r="54" spans="4:7" ht="12.75">
      <c r="D54" s="11"/>
      <c r="E54" s="11"/>
      <c r="F54" s="60"/>
      <c r="G54" s="60"/>
    </row>
  </sheetData>
  <printOptions horizontalCentered="1"/>
  <pageMargins left="0.5905511811023623" right="0.3937007874015748" top="1.1811023622047245" bottom="0.3937007874015748"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6">
      <selection activeCell="B29" sqref="B2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12</v>
      </c>
      <c r="C4" s="43"/>
      <c r="D4" s="4"/>
      <c r="E4" s="4"/>
      <c r="F4" s="4"/>
    </row>
    <row r="5" spans="1:6" s="1" customFormat="1" ht="12.75">
      <c r="A5" s="1" t="s">
        <v>149</v>
      </c>
      <c r="C5" s="43"/>
      <c r="D5" s="4"/>
      <c r="E5" s="4"/>
      <c r="F5" s="4"/>
    </row>
    <row r="6" spans="1:7" s="1" customFormat="1" ht="12.75">
      <c r="A6" s="2" t="s">
        <v>2</v>
      </c>
      <c r="C6" s="43"/>
      <c r="D6" s="4"/>
      <c r="E6" s="4"/>
      <c r="F6" s="58"/>
      <c r="G6" s="43"/>
    </row>
    <row r="7" spans="4:7" ht="12.75">
      <c r="D7" s="5" t="s">
        <v>63</v>
      </c>
      <c r="E7" s="5" t="s">
        <v>63</v>
      </c>
      <c r="F7" s="5"/>
      <c r="G7" s="30" t="s">
        <v>133</v>
      </c>
    </row>
    <row r="8" spans="4:7" ht="12.75">
      <c r="D8" s="5" t="s">
        <v>61</v>
      </c>
      <c r="E8" s="5" t="s">
        <v>61</v>
      </c>
      <c r="F8" s="5" t="s">
        <v>61</v>
      </c>
      <c r="G8" s="30" t="s">
        <v>62</v>
      </c>
    </row>
    <row r="9" spans="3:7" ht="12.75">
      <c r="C9" s="30" t="s">
        <v>58</v>
      </c>
      <c r="D9" s="5" t="s">
        <v>105</v>
      </c>
      <c r="E9" s="5" t="s">
        <v>122</v>
      </c>
      <c r="F9" s="5" t="s">
        <v>148</v>
      </c>
      <c r="G9" s="30" t="s">
        <v>143</v>
      </c>
    </row>
    <row r="10" spans="4:7" ht="12.75">
      <c r="D10" s="5" t="s">
        <v>28</v>
      </c>
      <c r="E10" s="5" t="s">
        <v>28</v>
      </c>
      <c r="F10" s="5" t="s">
        <v>28</v>
      </c>
      <c r="G10" s="5" t="s">
        <v>28</v>
      </c>
    </row>
    <row r="11" spans="4:6" ht="12.75">
      <c r="D11" s="8"/>
      <c r="E11" s="8"/>
      <c r="F11" s="8"/>
    </row>
    <row r="12" spans="1:7" ht="12.75">
      <c r="A12" s="2" t="s">
        <v>13</v>
      </c>
      <c r="D12" s="3">
        <v>6287231</v>
      </c>
      <c r="E12" s="3">
        <v>6712693</v>
      </c>
      <c r="F12" s="42">
        <f>12591970-988533-444632</f>
        <v>11158805</v>
      </c>
      <c r="G12" s="42">
        <f>12848633-992914-479755</f>
        <v>11375964</v>
      </c>
    </row>
    <row r="13" spans="1:7" ht="12.75">
      <c r="A13" s="2" t="s">
        <v>151</v>
      </c>
      <c r="F13" s="42">
        <v>988533</v>
      </c>
      <c r="G13" s="42">
        <v>992914</v>
      </c>
    </row>
    <row r="14" spans="1:7" ht="12.75">
      <c r="A14" s="2" t="s">
        <v>167</v>
      </c>
      <c r="F14" s="42">
        <v>444632</v>
      </c>
      <c r="G14" s="42">
        <v>479755</v>
      </c>
    </row>
    <row r="15" spans="1:7" ht="12.75">
      <c r="A15" s="2" t="s">
        <v>129</v>
      </c>
      <c r="D15" s="3">
        <v>139121</v>
      </c>
      <c r="E15" s="3">
        <v>139121</v>
      </c>
      <c r="F15" s="42">
        <v>525045</v>
      </c>
      <c r="G15" s="42">
        <v>414149</v>
      </c>
    </row>
    <row r="16" spans="1:7" ht="12.75">
      <c r="A16" s="2" t="s">
        <v>147</v>
      </c>
      <c r="F16" s="42">
        <v>527919</v>
      </c>
      <c r="G16" s="42">
        <v>458179</v>
      </c>
    </row>
    <row r="17" spans="1:7" ht="12.75">
      <c r="A17" s="2" t="s">
        <v>56</v>
      </c>
      <c r="D17" s="3">
        <v>970000</v>
      </c>
      <c r="E17" s="3">
        <v>1000000</v>
      </c>
      <c r="F17" s="42">
        <v>1332000</v>
      </c>
      <c r="G17" s="42">
        <v>1341000</v>
      </c>
    </row>
    <row r="18" spans="6:7" ht="12.75">
      <c r="F18" s="42"/>
      <c r="G18" s="42"/>
    </row>
    <row r="19" spans="1:7" ht="12.75">
      <c r="A19" s="2" t="s">
        <v>14</v>
      </c>
      <c r="F19" s="42"/>
      <c r="G19" s="42"/>
    </row>
    <row r="20" spans="1:7" ht="12.75">
      <c r="A20" s="2" t="s">
        <v>15</v>
      </c>
      <c r="D20" s="3">
        <v>2904663</v>
      </c>
      <c r="E20" s="3">
        <v>2168835</v>
      </c>
      <c r="F20" s="42">
        <v>5407527</v>
      </c>
      <c r="G20" s="42">
        <v>5386059</v>
      </c>
    </row>
    <row r="21" spans="1:7" ht="12.75">
      <c r="A21" s="2" t="s">
        <v>16</v>
      </c>
      <c r="D21" s="3">
        <f>14168190+58610575</f>
        <v>72778765</v>
      </c>
      <c r="E21" s="3">
        <f>3468537+66150885</f>
        <v>69619422</v>
      </c>
      <c r="F21" s="42">
        <f>5445328+71782020</f>
        <v>77227348</v>
      </c>
      <c r="G21" s="42">
        <v>68274772</v>
      </c>
    </row>
    <row r="22" spans="1:7" ht="12.75">
      <c r="A22" s="2" t="s">
        <v>17</v>
      </c>
      <c r="D22" s="3">
        <v>1252119</v>
      </c>
      <c r="E22" s="3">
        <f>1136819+90000+181089</f>
        <v>1407908</v>
      </c>
      <c r="F22" s="42">
        <f>692786+465122</f>
        <v>1157908</v>
      </c>
      <c r="G22" s="42">
        <v>1656177</v>
      </c>
    </row>
    <row r="23" spans="1:7" ht="12.75">
      <c r="A23" s="2" t="s">
        <v>127</v>
      </c>
      <c r="D23" s="3">
        <v>7708450</v>
      </c>
      <c r="E23" s="3">
        <v>7618246</v>
      </c>
      <c r="F23" s="42">
        <v>5946546</v>
      </c>
      <c r="G23" s="42">
        <v>6112856</v>
      </c>
    </row>
    <row r="24" spans="1:7" ht="12.75">
      <c r="A24" s="2" t="s">
        <v>18</v>
      </c>
      <c r="D24" s="3">
        <v>2463427</v>
      </c>
      <c r="E24" s="3">
        <v>19174435</v>
      </c>
      <c r="F24" s="42">
        <v>6293643</v>
      </c>
      <c r="G24" s="42">
        <v>5243920</v>
      </c>
    </row>
    <row r="25" spans="4:7" ht="12.75">
      <c r="D25" s="9">
        <f>SUM(D20:D24)</f>
        <v>87107424</v>
      </c>
      <c r="E25" s="9">
        <f>SUM(E20:E24)</f>
        <v>99988846</v>
      </c>
      <c r="F25" s="59">
        <f>SUM(F20:F24)</f>
        <v>96032972</v>
      </c>
      <c r="G25" s="59">
        <f>SUM(G20:G24)</f>
        <v>86673784</v>
      </c>
    </row>
    <row r="26" spans="6:7" ht="12.75">
      <c r="F26" s="42"/>
      <c r="G26" s="42"/>
    </row>
    <row r="27" spans="1:7" ht="12.75">
      <c r="A27" s="2" t="s">
        <v>19</v>
      </c>
      <c r="F27" s="42"/>
      <c r="G27" s="42"/>
    </row>
    <row r="28" spans="1:7" ht="12.75">
      <c r="A28" s="2" t="s">
        <v>20</v>
      </c>
      <c r="D28" s="3">
        <f>39708627+3055518</f>
        <v>42764145</v>
      </c>
      <c r="E28" s="3">
        <v>40880605</v>
      </c>
      <c r="F28" s="42">
        <f>44610973+4586931</f>
        <v>49197904</v>
      </c>
      <c r="G28" s="42">
        <v>39835089</v>
      </c>
    </row>
    <row r="29" spans="1:7" ht="12.75">
      <c r="A29" s="2" t="s">
        <v>21</v>
      </c>
      <c r="D29" s="3">
        <f>8384266+1738663-75000</f>
        <v>10047929</v>
      </c>
      <c r="E29" s="3">
        <f>8495411+2979531+539058</f>
        <v>12014000</v>
      </c>
      <c r="F29" s="42">
        <v>3909210</v>
      </c>
      <c r="G29" s="42">
        <v>4658728</v>
      </c>
    </row>
    <row r="30" spans="1:7" ht="12.75">
      <c r="A30" s="2" t="s">
        <v>22</v>
      </c>
      <c r="C30" s="30">
        <v>25</v>
      </c>
      <c r="D30" s="3">
        <v>10905554</v>
      </c>
      <c r="E30" s="3">
        <v>8890984</v>
      </c>
      <c r="F30" s="42">
        <v>1703000</v>
      </c>
      <c r="G30" s="42">
        <v>3108818</v>
      </c>
    </row>
    <row r="31" spans="1:7" ht="12.75">
      <c r="A31" s="2" t="s">
        <v>23</v>
      </c>
      <c r="D31" s="3">
        <v>4737823</v>
      </c>
      <c r="E31" s="3">
        <v>3857702</v>
      </c>
      <c r="F31" s="42">
        <v>1373461</v>
      </c>
      <c r="G31" s="42">
        <v>1181000</v>
      </c>
    </row>
    <row r="32" spans="4:7" ht="12.75">
      <c r="D32" s="9">
        <f>SUM(D28:D31)</f>
        <v>68455451</v>
      </c>
      <c r="E32" s="9">
        <f>SUM(E28:E31)</f>
        <v>65643291</v>
      </c>
      <c r="F32" s="59">
        <f>SUM(F28:F31)</f>
        <v>56183575</v>
      </c>
      <c r="G32" s="59">
        <f>SUM(G28:G31)</f>
        <v>48783635</v>
      </c>
    </row>
    <row r="33" spans="1:7" ht="12.75">
      <c r="A33" s="2" t="s">
        <v>161</v>
      </c>
      <c r="D33" s="9">
        <f>D25-D32</f>
        <v>18651973</v>
      </c>
      <c r="E33" s="9">
        <f>E25-E32</f>
        <v>34345555</v>
      </c>
      <c r="F33" s="59">
        <f>F25-F32</f>
        <v>39849397</v>
      </c>
      <c r="G33" s="59">
        <f>G25-G32</f>
        <v>37890149</v>
      </c>
    </row>
    <row r="34" spans="4:7" ht="12.75">
      <c r="D34" s="11"/>
      <c r="E34" s="11"/>
      <c r="F34" s="60"/>
      <c r="G34" s="60"/>
    </row>
    <row r="35" spans="4:7" ht="13.5" thickBot="1">
      <c r="D35" s="7">
        <f>SUM(D12:D17)+D33</f>
        <v>26048325</v>
      </c>
      <c r="E35" s="7">
        <f>SUM(E12:E17)+E33</f>
        <v>42197369</v>
      </c>
      <c r="F35" s="61">
        <f>SUM(F12:F17)+F33</f>
        <v>54826331</v>
      </c>
      <c r="G35" s="61">
        <f>SUM(G12:G17)+G33</f>
        <v>52952110</v>
      </c>
    </row>
    <row r="36" spans="6:7" ht="13.5" thickTop="1">
      <c r="F36" s="42"/>
      <c r="G36" s="42"/>
    </row>
    <row r="37" spans="1:7" ht="12.75">
      <c r="A37" s="2" t="s">
        <v>162</v>
      </c>
      <c r="F37" s="42"/>
      <c r="G37" s="42"/>
    </row>
    <row r="38" spans="1:7" ht="12.75">
      <c r="A38" s="2" t="s">
        <v>24</v>
      </c>
      <c r="D38" s="3">
        <v>21254000</v>
      </c>
      <c r="E38" s="3">
        <v>28354000</v>
      </c>
      <c r="F38" s="42">
        <v>28354000</v>
      </c>
      <c r="G38" s="42">
        <v>28354000</v>
      </c>
    </row>
    <row r="39" spans="1:7" ht="12.75">
      <c r="A39" s="2" t="s">
        <v>124</v>
      </c>
      <c r="D39" s="3">
        <v>0</v>
      </c>
      <c r="E39" s="3">
        <v>6433824</v>
      </c>
      <c r="F39" s="42">
        <v>6406222</v>
      </c>
      <c r="G39" s="42">
        <v>6406222</v>
      </c>
    </row>
    <row r="40" spans="1:7" ht="12.75">
      <c r="A40" s="2" t="s">
        <v>165</v>
      </c>
      <c r="F40" s="42">
        <v>-85789</v>
      </c>
      <c r="G40" s="42">
        <v>83729</v>
      </c>
    </row>
    <row r="41" spans="1:7" ht="12.75">
      <c r="A41" s="2" t="s">
        <v>134</v>
      </c>
      <c r="D41" s="6">
        <v>434293</v>
      </c>
      <c r="E41" s="6">
        <v>3120474</v>
      </c>
      <c r="F41" s="62">
        <v>20151898</v>
      </c>
      <c r="G41" s="62">
        <v>18108159</v>
      </c>
    </row>
    <row r="42" spans="1:7" ht="12.75">
      <c r="A42" s="2" t="s">
        <v>138</v>
      </c>
      <c r="D42" s="3">
        <f>SUM(D38:D41)</f>
        <v>21688293</v>
      </c>
      <c r="E42" s="3">
        <f>SUM(E38:E41)</f>
        <v>37908298</v>
      </c>
      <c r="F42" s="42">
        <f>SUM(F38:F41)</f>
        <v>54826331</v>
      </c>
      <c r="G42" s="42">
        <f>SUM(G38:G41)</f>
        <v>52952110</v>
      </c>
    </row>
    <row r="43" spans="6:7" ht="13.5" thickBot="1">
      <c r="F43" s="63">
        <f>SUM(F42:F42)</f>
        <v>54826331</v>
      </c>
      <c r="G43" s="63">
        <f>SUM(G42:G42)</f>
        <v>52952110</v>
      </c>
    </row>
    <row r="44" spans="6:7" ht="13.5" thickTop="1">
      <c r="F44" s="42"/>
      <c r="G44" s="42"/>
    </row>
    <row r="45" spans="1:7" ht="12.75">
      <c r="A45" s="24"/>
      <c r="B45" s="24"/>
      <c r="C45" s="35"/>
      <c r="D45" s="11"/>
      <c r="E45" s="11"/>
      <c r="F45" s="60">
        <f>F35-F43</f>
        <v>0</v>
      </c>
      <c r="G45" s="60">
        <f>G35-G43</f>
        <v>0</v>
      </c>
    </row>
    <row r="46" spans="1:7" ht="12.75">
      <c r="A46" s="24"/>
      <c r="B46" s="24"/>
      <c r="C46" s="35"/>
      <c r="D46" s="11"/>
      <c r="E46" s="11"/>
      <c r="F46" s="60"/>
      <c r="G46" s="60"/>
    </row>
    <row r="47" spans="1:7" ht="12.75" hidden="1">
      <c r="A47" s="24"/>
      <c r="B47" s="24"/>
      <c r="C47" s="35"/>
      <c r="D47" s="11"/>
      <c r="E47" s="11"/>
      <c r="F47" s="60"/>
      <c r="G47" s="60"/>
    </row>
    <row r="48" spans="1:7" ht="12.75">
      <c r="A48" s="24"/>
      <c r="B48" s="24"/>
      <c r="C48" s="35"/>
      <c r="D48" s="11"/>
      <c r="E48" s="11"/>
      <c r="F48" s="60"/>
      <c r="G48" s="60"/>
    </row>
    <row r="49" spans="1:7" ht="12.75">
      <c r="A49" s="24"/>
      <c r="B49" s="24"/>
      <c r="C49" s="35"/>
      <c r="D49" s="11"/>
      <c r="E49" s="11"/>
      <c r="F49" s="60"/>
      <c r="G49" s="60"/>
    </row>
    <row r="50" spans="4:7" ht="12.75">
      <c r="D50" s="11"/>
      <c r="E50" s="11"/>
      <c r="F50" s="80"/>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8"/>
  <sheetViews>
    <sheetView view="pageBreakPreview" zoomScaleSheetLayoutView="100" workbookViewId="0" topLeftCell="A21">
      <selection activeCell="B35" sqref="B35"/>
    </sheetView>
  </sheetViews>
  <sheetFormatPr defaultColWidth="9.140625" defaultRowHeight="12.75"/>
  <cols>
    <col min="1" max="1" width="2.140625" style="0" customWidth="1"/>
    <col min="2" max="2" width="32.28125" style="0" customWidth="1"/>
    <col min="3" max="3" width="1.8515625" style="0" customWidth="1"/>
    <col min="4" max="4" width="11.28125" style="12" bestFit="1" customWidth="1"/>
    <col min="5" max="5" width="11.421875" style="12" customWidth="1"/>
    <col min="6" max="6" width="11.57421875" style="12" customWidth="1"/>
    <col min="7" max="7" width="12.421875" style="0" customWidth="1"/>
    <col min="8" max="8" width="11.28125" style="0" bestFit="1" customWidth="1"/>
    <col min="9" max="9" width="10.28125" style="0" bestFit="1" customWidth="1"/>
    <col min="10" max="10" width="11.28125" style="0" bestFit="1"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25</v>
      </c>
      <c r="D4" s="4"/>
      <c r="E4" s="4"/>
      <c r="F4" s="4"/>
    </row>
    <row r="5" spans="1:6" s="1" customFormat="1" ht="12.75">
      <c r="A5" s="1" t="s">
        <v>253</v>
      </c>
      <c r="D5" s="4"/>
      <c r="E5" s="4"/>
      <c r="F5" s="4"/>
    </row>
    <row r="6" spans="1:6" s="2" customFormat="1" ht="12.75">
      <c r="A6" s="2" t="s">
        <v>2</v>
      </c>
      <c r="D6" s="3"/>
      <c r="E6" s="3"/>
      <c r="F6" s="3"/>
    </row>
    <row r="7" spans="4:6" s="2" customFormat="1" ht="12.75">
      <c r="D7" s="3"/>
      <c r="E7" s="3"/>
      <c r="F7" s="3"/>
    </row>
    <row r="8" spans="2:8" s="2" customFormat="1" ht="12.75">
      <c r="B8" s="38"/>
      <c r="C8" s="38"/>
      <c r="D8" s="106"/>
      <c r="E8" s="106"/>
      <c r="F8" s="106"/>
      <c r="G8" s="38"/>
      <c r="H8" s="38"/>
    </row>
    <row r="9" spans="2:10" s="2" customFormat="1" ht="12.75">
      <c r="B9" s="38"/>
      <c r="C9" s="38"/>
      <c r="D9" s="205" t="s">
        <v>197</v>
      </c>
      <c r="E9" s="205"/>
      <c r="F9" s="205"/>
      <c r="G9" s="205"/>
      <c r="H9" s="205"/>
      <c r="I9" s="43" t="s">
        <v>198</v>
      </c>
      <c r="J9" s="43" t="s">
        <v>200</v>
      </c>
    </row>
    <row r="10" spans="2:10" ht="12.75">
      <c r="B10" s="107"/>
      <c r="C10" s="107"/>
      <c r="D10" s="108"/>
      <c r="E10" s="108"/>
      <c r="F10" s="108"/>
      <c r="G10" s="107"/>
      <c r="H10" s="107"/>
      <c r="I10" s="43" t="s">
        <v>199</v>
      </c>
      <c r="J10" s="43" t="s">
        <v>201</v>
      </c>
    </row>
    <row r="11" spans="4:8" ht="12.75">
      <c r="D11" s="58" t="s">
        <v>26</v>
      </c>
      <c r="E11" s="58" t="s">
        <v>26</v>
      </c>
      <c r="F11" s="58" t="s">
        <v>164</v>
      </c>
      <c r="G11" s="43" t="s">
        <v>194</v>
      </c>
      <c r="H11" s="43"/>
    </row>
    <row r="12" spans="3:8" ht="12.75">
      <c r="C12" s="13"/>
      <c r="D12" s="58" t="s">
        <v>101</v>
      </c>
      <c r="E12" s="58" t="s">
        <v>104</v>
      </c>
      <c r="F12" s="58" t="s">
        <v>144</v>
      </c>
      <c r="G12" s="43" t="s">
        <v>193</v>
      </c>
      <c r="H12" s="43" t="s">
        <v>27</v>
      </c>
    </row>
    <row r="13" spans="4:10" ht="12.75">
      <c r="D13" s="58" t="s">
        <v>28</v>
      </c>
      <c r="E13" s="58" t="s">
        <v>28</v>
      </c>
      <c r="F13" s="58" t="s">
        <v>28</v>
      </c>
      <c r="G13" s="43" t="s">
        <v>28</v>
      </c>
      <c r="H13" s="43" t="s">
        <v>28</v>
      </c>
      <c r="I13" s="43" t="s">
        <v>28</v>
      </c>
      <c r="J13" s="43" t="s">
        <v>28</v>
      </c>
    </row>
    <row r="15" spans="1:10" ht="12.75">
      <c r="A15" t="s">
        <v>163</v>
      </c>
      <c r="D15" s="12">
        <v>28354000</v>
      </c>
      <c r="E15" s="12">
        <v>6406222</v>
      </c>
      <c r="F15" s="12">
        <v>83729</v>
      </c>
      <c r="G15" s="12">
        <v>18108159</v>
      </c>
      <c r="H15" s="14">
        <f>SUM(D15:G15)</f>
        <v>52952110</v>
      </c>
      <c r="I15" s="12">
        <v>0</v>
      </c>
      <c r="J15" s="14">
        <f>H15+I15</f>
        <v>52952110</v>
      </c>
    </row>
    <row r="16" spans="7:8" ht="12.75">
      <c r="G16" s="12"/>
      <c r="H16" s="14"/>
    </row>
    <row r="17" spans="1:10" ht="12.75">
      <c r="A17" t="s">
        <v>145</v>
      </c>
      <c r="D17" s="12">
        <v>0</v>
      </c>
      <c r="E17" s="12">
        <v>0</v>
      </c>
      <c r="F17" s="12">
        <v>-73129</v>
      </c>
      <c r="G17" s="12">
        <v>0</v>
      </c>
      <c r="H17" s="14">
        <f>SUM(D17:G17)</f>
        <v>-73129</v>
      </c>
      <c r="I17" s="12">
        <v>0</v>
      </c>
      <c r="J17" s="14">
        <f>H17+I17</f>
        <v>-73129</v>
      </c>
    </row>
    <row r="18" spans="7:10" ht="12.75">
      <c r="G18" s="12"/>
      <c r="H18" s="14"/>
      <c r="I18" s="12"/>
      <c r="J18" s="14"/>
    </row>
    <row r="19" spans="1:10" ht="12.75">
      <c r="A19" t="s">
        <v>255</v>
      </c>
      <c r="G19" s="12"/>
      <c r="H19" s="14"/>
      <c r="I19" s="12"/>
      <c r="J19" s="14"/>
    </row>
    <row r="20" spans="2:10" ht="12.75">
      <c r="B20" t="s">
        <v>256</v>
      </c>
      <c r="D20" s="12">
        <v>0</v>
      </c>
      <c r="E20" s="12">
        <v>0</v>
      </c>
      <c r="F20" s="12">
        <v>0</v>
      </c>
      <c r="G20" s="12">
        <v>0</v>
      </c>
      <c r="H20" s="14">
        <f>SUM(D20:G20)</f>
        <v>0</v>
      </c>
      <c r="I20" s="12">
        <v>122500</v>
      </c>
      <c r="J20" s="14">
        <f>H20+I20</f>
        <v>122500</v>
      </c>
    </row>
    <row r="21" spans="7:10" ht="12.75">
      <c r="G21" s="12"/>
      <c r="H21" s="14"/>
      <c r="I21" s="12"/>
      <c r="J21" s="14"/>
    </row>
    <row r="22" spans="1:10" ht="12.75">
      <c r="A22" t="s">
        <v>230</v>
      </c>
      <c r="D22" s="12">
        <v>0</v>
      </c>
      <c r="E22" s="12">
        <v>0</v>
      </c>
      <c r="F22" s="12">
        <v>0</v>
      </c>
      <c r="G22" s="3">
        <f>4082749-339405</f>
        <v>3743344</v>
      </c>
      <c r="H22" s="14">
        <f>SUM(D22:G22)</f>
        <v>3743344</v>
      </c>
      <c r="I22" s="12">
        <v>-29944</v>
      </c>
      <c r="J22" s="14">
        <f>H22+I22</f>
        <v>3713400</v>
      </c>
    </row>
    <row r="23" spans="7:10" ht="12.75">
      <c r="G23" s="3"/>
      <c r="H23" s="14"/>
      <c r="I23" s="12"/>
      <c r="J23" s="14"/>
    </row>
    <row r="24" spans="1:10" ht="12.75">
      <c r="A24" t="s">
        <v>257</v>
      </c>
      <c r="G24" s="3">
        <v>-612447</v>
      </c>
      <c r="H24" s="14">
        <f>SUM(D24:G24)</f>
        <v>-612447</v>
      </c>
      <c r="I24" s="12">
        <v>0</v>
      </c>
      <c r="J24" s="14">
        <f>H24+I24</f>
        <v>-612447</v>
      </c>
    </row>
    <row r="25" ht="12.75">
      <c r="G25" s="12"/>
    </row>
    <row r="26" spans="1:10" ht="13.5" thickBot="1">
      <c r="A26" t="s">
        <v>254</v>
      </c>
      <c r="D26" s="15">
        <f aca="true" t="shared" si="0" ref="D26:J26">SUM(D15:D25)</f>
        <v>28354000</v>
      </c>
      <c r="E26" s="15">
        <f t="shared" si="0"/>
        <v>6406222</v>
      </c>
      <c r="F26" s="15">
        <f t="shared" si="0"/>
        <v>10600</v>
      </c>
      <c r="G26" s="15">
        <f t="shared" si="0"/>
        <v>21239056</v>
      </c>
      <c r="H26" s="15">
        <f t="shared" si="0"/>
        <v>56009878</v>
      </c>
      <c r="I26" s="109">
        <f t="shared" si="0"/>
        <v>92556</v>
      </c>
      <c r="J26" s="109">
        <f t="shared" si="0"/>
        <v>56102434</v>
      </c>
    </row>
    <row r="27" spans="4:8" ht="13.5" thickTop="1">
      <c r="D27" s="78"/>
      <c r="E27" s="78"/>
      <c r="F27" s="78"/>
      <c r="G27" s="78"/>
      <c r="H27" s="78"/>
    </row>
    <row r="28" spans="4:8" ht="12.75">
      <c r="D28" s="78"/>
      <c r="E28" s="78"/>
      <c r="F28" s="78"/>
      <c r="G28" s="78"/>
      <c r="H28" s="78"/>
    </row>
    <row r="30" spans="1:10" ht="12.75">
      <c r="A30" t="s">
        <v>220</v>
      </c>
      <c r="D30" s="12">
        <v>28354000</v>
      </c>
      <c r="E30" s="12">
        <v>6406222</v>
      </c>
      <c r="F30" s="12">
        <v>-51769</v>
      </c>
      <c r="G30" s="12">
        <v>26710304</v>
      </c>
      <c r="H30" s="14">
        <f>SUM(D30:G30)</f>
        <v>61418757</v>
      </c>
      <c r="I30" s="12">
        <v>1139138</v>
      </c>
      <c r="J30" s="14">
        <f>H30+I30</f>
        <v>62557895</v>
      </c>
    </row>
    <row r="31" spans="7:10" ht="12.75">
      <c r="G31" s="12"/>
      <c r="H31" s="14"/>
      <c r="I31" s="12"/>
      <c r="J31" s="14"/>
    </row>
    <row r="32" spans="1:10" ht="12.75">
      <c r="A32" t="s">
        <v>329</v>
      </c>
      <c r="G32" s="12"/>
      <c r="H32" s="14"/>
      <c r="I32" s="12"/>
      <c r="J32" s="14"/>
    </row>
    <row r="33" spans="2:10" ht="12.75">
      <c r="B33" t="s">
        <v>330</v>
      </c>
      <c r="D33" s="12">
        <v>1225000</v>
      </c>
      <c r="E33" s="12">
        <v>3920000</v>
      </c>
      <c r="G33" s="12"/>
      <c r="H33" s="14">
        <f>SUM(D33:G33)</f>
        <v>5145000</v>
      </c>
      <c r="I33" s="12"/>
      <c r="J33" s="14">
        <f>H33+I33</f>
        <v>5145000</v>
      </c>
    </row>
    <row r="34" spans="2:10" ht="12.75">
      <c r="B34" t="s">
        <v>331</v>
      </c>
      <c r="G34" s="12"/>
      <c r="H34" s="14"/>
      <c r="I34" s="12"/>
      <c r="J34" s="14"/>
    </row>
    <row r="35" spans="2:10" ht="12.75">
      <c r="B35" t="s">
        <v>334</v>
      </c>
      <c r="D35" s="12">
        <f>2304147+2304147</f>
        <v>4608294</v>
      </c>
      <c r="E35" s="12">
        <f>4608295+4608295</f>
        <v>9216590</v>
      </c>
      <c r="G35" s="12"/>
      <c r="H35" s="14">
        <f>SUM(D35:G35)</f>
        <v>13824884</v>
      </c>
      <c r="I35" s="12"/>
      <c r="J35" s="14">
        <f>H35+I35</f>
        <v>13824884</v>
      </c>
    </row>
    <row r="36" spans="7:10" ht="12.75">
      <c r="G36" s="12"/>
      <c r="H36" s="14"/>
      <c r="I36" s="12"/>
      <c r="J36" s="14"/>
    </row>
    <row r="37" spans="1:10" ht="12.75">
      <c r="A37" t="s">
        <v>335</v>
      </c>
      <c r="D37" s="12">
        <v>0</v>
      </c>
      <c r="E37" s="12">
        <v>-775779</v>
      </c>
      <c r="G37" s="12"/>
      <c r="H37" s="14">
        <f>SUM(D37:G37)</f>
        <v>-775779</v>
      </c>
      <c r="I37" s="12"/>
      <c r="J37" s="14">
        <f>H37+I37</f>
        <v>-775779</v>
      </c>
    </row>
    <row r="38" spans="7:8" ht="12.75">
      <c r="G38" s="12"/>
      <c r="H38" s="14"/>
    </row>
    <row r="39" spans="1:10" ht="12.75">
      <c r="A39" t="s">
        <v>145</v>
      </c>
      <c r="D39" s="12">
        <v>0</v>
      </c>
      <c r="E39" s="12">
        <v>0</v>
      </c>
      <c r="F39" s="12">
        <v>124591</v>
      </c>
      <c r="G39" s="12">
        <v>0</v>
      </c>
      <c r="H39" s="14">
        <f>SUM(D39:G39)</f>
        <v>124591</v>
      </c>
      <c r="I39" s="12">
        <v>23004</v>
      </c>
      <c r="J39" s="14">
        <f>H39+I39</f>
        <v>147595</v>
      </c>
    </row>
    <row r="40" spans="7:10" ht="12.75">
      <c r="G40" s="12"/>
      <c r="H40" s="14"/>
      <c r="I40" s="12"/>
      <c r="J40" s="14"/>
    </row>
    <row r="41" spans="1:10" ht="12.75">
      <c r="A41" t="s">
        <v>255</v>
      </c>
      <c r="G41" s="12"/>
      <c r="H41" s="14"/>
      <c r="I41" s="12"/>
      <c r="J41" s="14"/>
    </row>
    <row r="42" spans="2:10" ht="12.75">
      <c r="B42" t="s">
        <v>336</v>
      </c>
      <c r="G42" s="12"/>
      <c r="H42" s="14"/>
      <c r="I42" s="12">
        <v>195668</v>
      </c>
      <c r="J42" s="14">
        <f>H42+I42</f>
        <v>195668</v>
      </c>
    </row>
    <row r="43" spans="7:10" ht="12.75">
      <c r="G43" s="12"/>
      <c r="H43" s="14"/>
      <c r="I43" s="12"/>
      <c r="J43" s="14"/>
    </row>
    <row r="44" spans="1:10" ht="12.75">
      <c r="A44" t="s">
        <v>230</v>
      </c>
      <c r="D44" s="12">
        <v>0</v>
      </c>
      <c r="E44" s="12">
        <v>0</v>
      </c>
      <c r="F44" s="12">
        <v>0</v>
      </c>
      <c r="G44" s="3">
        <f>PL!G40</f>
        <v>2150216.3100000005</v>
      </c>
      <c r="H44" s="14">
        <f>SUM(D44:G44)</f>
        <v>2150216.3100000005</v>
      </c>
      <c r="I44" s="12">
        <f>PL!G42</f>
        <v>-273772</v>
      </c>
      <c r="J44" s="14">
        <f>H44+I44</f>
        <v>1876444.3100000005</v>
      </c>
    </row>
    <row r="45" spans="7:8" ht="12.75">
      <c r="G45" s="3"/>
      <c r="H45" s="14"/>
    </row>
    <row r="46" spans="1:10" ht="13.5" thickBot="1">
      <c r="A46" t="s">
        <v>258</v>
      </c>
      <c r="D46" s="15">
        <f aca="true" t="shared" si="1" ref="D46:J46">SUM(D30:D45)</f>
        <v>34187294</v>
      </c>
      <c r="E46" s="15">
        <f t="shared" si="1"/>
        <v>18767033</v>
      </c>
      <c r="F46" s="15">
        <f t="shared" si="1"/>
        <v>72822</v>
      </c>
      <c r="G46" s="15">
        <f t="shared" si="1"/>
        <v>28860520.310000002</v>
      </c>
      <c r="H46" s="15">
        <f t="shared" si="1"/>
        <v>81887669.31</v>
      </c>
      <c r="I46" s="10">
        <f t="shared" si="1"/>
        <v>1084038</v>
      </c>
      <c r="J46" s="15">
        <f t="shared" si="1"/>
        <v>82971707.31</v>
      </c>
    </row>
    <row r="47" ht="13.5" thickTop="1"/>
    <row r="48" ht="12.75">
      <c r="I48" s="14"/>
    </row>
  </sheetData>
  <mergeCells count="1">
    <mergeCell ref="D9:H9"/>
  </mergeCells>
  <printOptions horizontalCentered="1"/>
  <pageMargins left="0.5511811023622047" right="0.3937007874015748" top="1.1811023622047245" bottom="0.3937007874015748" header="0.5118110236220472" footer="0.5118110236220472"/>
  <pageSetup orientation="portrait" paperSize="9" scale="82" r:id="rId2"/>
  <drawing r:id="rId1"/>
</worksheet>
</file>

<file path=xl/worksheets/sheet6.xml><?xml version="1.0" encoding="utf-8"?>
<worksheet xmlns="http://schemas.openxmlformats.org/spreadsheetml/2006/main" xmlns:r="http://schemas.openxmlformats.org/officeDocument/2006/relationships">
  <dimension ref="A1:I38"/>
  <sheetViews>
    <sheetView view="pageBreakPreview" zoomScaleSheetLayoutView="100" workbookViewId="0" topLeftCell="A10">
      <selection activeCell="G42" sqref="G42"/>
    </sheetView>
  </sheetViews>
  <sheetFormatPr defaultColWidth="9.140625" defaultRowHeight="12.75"/>
  <cols>
    <col min="1" max="1" width="9.140625" style="2" customWidth="1"/>
    <col min="2" max="2" width="52.00390625" style="2" customWidth="1"/>
    <col min="3" max="3" width="13.7109375" style="3" hidden="1" customWidth="1"/>
    <col min="4" max="4" width="2.00390625" style="3" hidden="1" customWidth="1"/>
    <col min="5" max="5" width="13.7109375" style="3" hidden="1" customWidth="1"/>
    <col min="6" max="6" width="2.00390625" style="3" hidden="1" customWidth="1"/>
    <col min="7" max="7" width="15.57421875" style="3" customWidth="1"/>
    <col min="8" max="8" width="2.00390625" style="3" customWidth="1"/>
    <col min="9" max="9" width="15.28125" style="3" customWidth="1"/>
    <col min="10" max="16384" width="9.140625" style="2" customWidth="1"/>
  </cols>
  <sheetData>
    <row r="1" ht="12.75">
      <c r="A1" s="1" t="s">
        <v>0</v>
      </c>
    </row>
    <row r="2" ht="12.75">
      <c r="A2" s="2" t="s">
        <v>1</v>
      </c>
    </row>
    <row r="4" spans="1:9" s="1" customFormat="1" ht="12.75">
      <c r="A4" s="1" t="s">
        <v>29</v>
      </c>
      <c r="C4" s="4"/>
      <c r="D4" s="4"/>
      <c r="E4" s="4"/>
      <c r="F4" s="4"/>
      <c r="G4" s="4"/>
      <c r="H4" s="4"/>
      <c r="I4" s="4"/>
    </row>
    <row r="5" spans="1:9" s="1" customFormat="1" ht="12.75">
      <c r="A5" s="1" t="s">
        <v>253</v>
      </c>
      <c r="C5" s="4"/>
      <c r="D5" s="4"/>
      <c r="E5" s="4"/>
      <c r="F5" s="4"/>
      <c r="G5" s="4"/>
      <c r="H5" s="4"/>
      <c r="I5" s="4"/>
    </row>
    <row r="6" ht="12.75">
      <c r="A6" s="2" t="s">
        <v>2</v>
      </c>
    </row>
    <row r="7" spans="3:9" ht="12.75">
      <c r="C7" s="206" t="s">
        <v>57</v>
      </c>
      <c r="D7" s="206"/>
      <c r="E7" s="206"/>
      <c r="F7" s="5"/>
      <c r="G7" s="204" t="s">
        <v>259</v>
      </c>
      <c r="H7" s="204"/>
      <c r="I7" s="204"/>
    </row>
    <row r="8" spans="3:9" ht="12.75">
      <c r="C8" s="5" t="s">
        <v>9</v>
      </c>
      <c r="D8" s="5"/>
      <c r="E8" s="5" t="s">
        <v>107</v>
      </c>
      <c r="F8" s="5"/>
      <c r="G8" s="58" t="s">
        <v>250</v>
      </c>
      <c r="H8" s="58"/>
      <c r="I8" s="58" t="s">
        <v>251</v>
      </c>
    </row>
    <row r="9" spans="3:9" ht="12.75">
      <c r="C9" s="5"/>
      <c r="D9" s="5"/>
      <c r="E9" s="5"/>
      <c r="F9" s="5"/>
      <c r="G9" s="58"/>
      <c r="H9" s="58"/>
      <c r="I9" s="58"/>
    </row>
    <row r="10" spans="3:9" ht="12.75">
      <c r="C10" s="5" t="s">
        <v>28</v>
      </c>
      <c r="D10" s="5"/>
      <c r="E10" s="5" t="s">
        <v>28</v>
      </c>
      <c r="F10" s="5"/>
      <c r="G10" s="58" t="s">
        <v>28</v>
      </c>
      <c r="H10" s="58"/>
      <c r="I10" s="58" t="s">
        <v>28</v>
      </c>
    </row>
    <row r="11" spans="3:9" ht="12.75">
      <c r="C11" s="5"/>
      <c r="D11" s="5"/>
      <c r="E11" s="5" t="s">
        <v>106</v>
      </c>
      <c r="F11" s="5"/>
      <c r="G11" s="5"/>
      <c r="H11" s="5"/>
      <c r="I11" s="5"/>
    </row>
    <row r="12" spans="1:9" ht="12.75">
      <c r="A12" s="2" t="s">
        <v>46</v>
      </c>
      <c r="C12" s="3">
        <v>-1719211</v>
      </c>
      <c r="E12" s="3">
        <v>0</v>
      </c>
      <c r="G12" s="3">
        <v>-7132198</v>
      </c>
      <c r="I12" s="3">
        <v>-722411</v>
      </c>
    </row>
    <row r="14" spans="1:9" ht="12.75">
      <c r="A14" s="2" t="s">
        <v>47</v>
      </c>
      <c r="C14" s="3">
        <v>-213176</v>
      </c>
      <c r="E14" s="3">
        <v>0</v>
      </c>
      <c r="G14" s="3">
        <v>-1027083</v>
      </c>
      <c r="I14" s="3">
        <v>-1099216</v>
      </c>
    </row>
    <row r="16" spans="1:9" ht="12.75">
      <c r="A16" s="2" t="s">
        <v>48</v>
      </c>
      <c r="C16" s="6">
        <v>3492568</v>
      </c>
      <c r="E16" s="6">
        <v>0</v>
      </c>
      <c r="F16" s="6"/>
      <c r="G16" s="6">
        <v>7517022</v>
      </c>
      <c r="I16" s="6">
        <v>3863007</v>
      </c>
    </row>
    <row r="18" spans="1:9" ht="12.75">
      <c r="A18" s="2" t="s">
        <v>49</v>
      </c>
      <c r="C18" s="3">
        <f>SUM(C12:C16)</f>
        <v>1560181</v>
      </c>
      <c r="E18" s="3">
        <v>0</v>
      </c>
      <c r="G18" s="3">
        <f>SUM(G12:G16)</f>
        <v>-642259</v>
      </c>
      <c r="I18" s="3">
        <f>SUM(I12:I16)</f>
        <v>2041380</v>
      </c>
    </row>
    <row r="20" spans="1:9" ht="12.75">
      <c r="A20" s="2" t="s">
        <v>50</v>
      </c>
      <c r="C20" s="3">
        <v>162556</v>
      </c>
      <c r="E20" s="3">
        <v>0</v>
      </c>
      <c r="G20" s="3">
        <v>3876043</v>
      </c>
      <c r="I20" s="3">
        <v>3731602</v>
      </c>
    </row>
    <row r="22" spans="1:9" ht="13.5" thickBot="1">
      <c r="A22" s="2" t="s">
        <v>172</v>
      </c>
      <c r="C22" s="10">
        <f>SUM(C18:C20)</f>
        <v>1722737</v>
      </c>
      <c r="E22" s="10">
        <v>0</v>
      </c>
      <c r="F22" s="10"/>
      <c r="G22" s="10">
        <f>SUM(G18:G20)</f>
        <v>3233784</v>
      </c>
      <c r="I22" s="10">
        <f>SUM(I18:I20)</f>
        <v>5772982</v>
      </c>
    </row>
    <row r="23" ht="13.5" thickTop="1"/>
    <row r="24" ht="12.75" hidden="1"/>
    <row r="25" ht="12.75" hidden="1">
      <c r="A25" s="2" t="s">
        <v>64</v>
      </c>
    </row>
    <row r="26" ht="12.75" hidden="1"/>
    <row r="27" spans="1:9" ht="12.75" hidden="1">
      <c r="A27" s="2" t="s">
        <v>53</v>
      </c>
      <c r="C27" s="3">
        <v>2463427</v>
      </c>
      <c r="E27" s="3">
        <v>0</v>
      </c>
      <c r="G27" s="3" t="e">
        <f>#REF!</f>
        <v>#REF!</v>
      </c>
      <c r="I27" s="3">
        <v>13560595</v>
      </c>
    </row>
    <row r="28" spans="1:9" ht="12.75" hidden="1">
      <c r="A28" s="2" t="s">
        <v>146</v>
      </c>
      <c r="I28" s="3">
        <v>0</v>
      </c>
    </row>
    <row r="29" spans="1:9" ht="12.75" hidden="1">
      <c r="A29" s="2" t="s">
        <v>130</v>
      </c>
      <c r="C29" s="3">
        <v>-740690</v>
      </c>
      <c r="E29" s="3">
        <v>0</v>
      </c>
      <c r="I29" s="3">
        <v>0</v>
      </c>
    </row>
    <row r="30" spans="3:9" ht="13.5" hidden="1" thickBot="1">
      <c r="C30" s="10">
        <f>SUM(C27:C29)</f>
        <v>1722737</v>
      </c>
      <c r="E30" s="10">
        <v>0</v>
      </c>
      <c r="F30" s="10"/>
      <c r="G30" s="10" t="e">
        <f>SUM(G27:G29)</f>
        <v>#REF!</v>
      </c>
      <c r="I30" s="10">
        <f>SUM(I27:I29)</f>
        <v>13560595</v>
      </c>
    </row>
    <row r="32" ht="12.75">
      <c r="A32" s="2" t="s">
        <v>185</v>
      </c>
    </row>
    <row r="34" spans="1:9" ht="12.75">
      <c r="A34" s="2" t="s">
        <v>53</v>
      </c>
      <c r="G34" s="3">
        <v>4838087</v>
      </c>
      <c r="I34" s="3">
        <v>6567110</v>
      </c>
    </row>
    <row r="36" spans="1:9" ht="12.75">
      <c r="A36" s="2" t="s">
        <v>328</v>
      </c>
      <c r="G36" s="3">
        <v>-1604303</v>
      </c>
      <c r="I36" s="3">
        <v>-794128</v>
      </c>
    </row>
    <row r="38" spans="7:9" ht="13.5" thickBot="1">
      <c r="G38" s="10">
        <f>SUM(G34:G37)</f>
        <v>3233784</v>
      </c>
      <c r="I38" s="10">
        <f>SUM(I34:I37)</f>
        <v>5772982</v>
      </c>
    </row>
    <row r="39" ht="13.5" thickTop="1"/>
  </sheetData>
  <mergeCells count="2">
    <mergeCell ref="C7:E7"/>
    <mergeCell ref="G7:I7"/>
  </mergeCells>
  <printOptions horizontalCentered="1"/>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T236"/>
  <sheetViews>
    <sheetView view="pageBreakPreview" zoomScaleSheetLayoutView="100" workbookViewId="0" topLeftCell="A202">
      <selection activeCell="E220" sqref="E220"/>
    </sheetView>
  </sheetViews>
  <sheetFormatPr defaultColWidth="9.140625" defaultRowHeight="12.75"/>
  <cols>
    <col min="1" max="1" width="4.140625" style="21" customWidth="1"/>
    <col min="2" max="2" width="9.00390625" style="16" customWidth="1"/>
    <col min="3" max="3" width="21.8515625" style="16" customWidth="1"/>
    <col min="4" max="4" width="15.00390625" style="16" customWidth="1"/>
    <col min="5" max="5" width="14.7109375" style="16" customWidth="1"/>
    <col min="6" max="6" width="1.7109375" style="16" customWidth="1"/>
    <col min="7" max="7" width="15.8515625" style="17" customWidth="1"/>
    <col min="8" max="8" width="16.00390625" style="17" customWidth="1"/>
    <col min="9" max="9" width="4.140625" style="50" customWidth="1"/>
    <col min="10" max="11" width="8.8515625" style="17" customWidth="1"/>
    <col min="12" max="12" width="11.7109375" style="17" customWidth="1"/>
    <col min="13" max="16384" width="8.8515625" style="17" customWidth="1"/>
  </cols>
  <sheetData>
    <row r="1" spans="1:9" s="2" customFormat="1" ht="12.75">
      <c r="A1" s="21" t="s">
        <v>0</v>
      </c>
      <c r="C1" s="3"/>
      <c r="D1" s="3"/>
      <c r="E1" s="3"/>
      <c r="F1" s="3"/>
      <c r="I1" s="24"/>
    </row>
    <row r="2" spans="1:9" s="2" customFormat="1" ht="12.75">
      <c r="A2" s="25" t="s">
        <v>1</v>
      </c>
      <c r="C2" s="3"/>
      <c r="D2" s="3"/>
      <c r="E2" s="3"/>
      <c r="F2" s="3"/>
      <c r="I2" s="24"/>
    </row>
    <row r="3" spans="1:6" ht="12.75">
      <c r="A3" s="26"/>
      <c r="B3" s="20"/>
      <c r="C3" s="20"/>
      <c r="D3" s="20"/>
      <c r="E3" s="20"/>
      <c r="F3" s="20"/>
    </row>
    <row r="4" ht="12.75"/>
    <row r="5" ht="12.75">
      <c r="B5" s="18"/>
    </row>
    <row r="6" ht="12.75">
      <c r="B6" s="22"/>
    </row>
    <row r="7" ht="12.75"/>
    <row r="8" spans="1:2" ht="12.75">
      <c r="A8" s="44" t="s">
        <v>66</v>
      </c>
      <c r="B8" s="18" t="s">
        <v>30</v>
      </c>
    </row>
    <row r="9" ht="12.75">
      <c r="B9" s="18"/>
    </row>
    <row r="10" ht="12.75">
      <c r="B10" s="18"/>
    </row>
    <row r="11" ht="12.75">
      <c r="B11" s="18"/>
    </row>
    <row r="12" ht="12.75">
      <c r="B12" s="18"/>
    </row>
    <row r="13" ht="12.75">
      <c r="B13" s="18"/>
    </row>
    <row r="14" ht="12.75">
      <c r="B14" s="18"/>
    </row>
    <row r="15" ht="12.75">
      <c r="B15" s="18"/>
    </row>
    <row r="16" ht="12.75">
      <c r="B16" s="18"/>
    </row>
    <row r="17" ht="12.75">
      <c r="B17" s="18"/>
    </row>
    <row r="18" ht="12.75">
      <c r="B18" s="18"/>
    </row>
    <row r="19" spans="1:2" ht="12.75">
      <c r="A19" s="44" t="s">
        <v>65</v>
      </c>
      <c r="B19" s="18" t="s">
        <v>157</v>
      </c>
    </row>
    <row r="20" ht="12.75">
      <c r="B20" s="18"/>
    </row>
    <row r="21" ht="12.75">
      <c r="B21" s="18"/>
    </row>
    <row r="22" ht="12.75">
      <c r="B22" s="18"/>
    </row>
    <row r="23" ht="12.75">
      <c r="B23" s="18"/>
    </row>
    <row r="24" ht="12.75">
      <c r="B24" s="18"/>
    </row>
    <row r="25" ht="12.75">
      <c r="B25" s="18"/>
    </row>
    <row r="26" spans="2:3" ht="12.75">
      <c r="B26" s="16" t="s">
        <v>223</v>
      </c>
      <c r="C26" s="16" t="s">
        <v>225</v>
      </c>
    </row>
    <row r="27" spans="2:3" ht="12.75">
      <c r="B27" s="16" t="s">
        <v>224</v>
      </c>
      <c r="C27" s="16" t="s">
        <v>226</v>
      </c>
    </row>
    <row r="28" ht="12.75">
      <c r="B28" s="17"/>
    </row>
    <row r="29" ht="12.75">
      <c r="B29" s="17"/>
    </row>
    <row r="30" ht="12.75">
      <c r="B30" s="17"/>
    </row>
    <row r="31" ht="12.75">
      <c r="B31" s="17"/>
    </row>
    <row r="32" spans="1:2" ht="12.75">
      <c r="A32" s="44" t="s">
        <v>67</v>
      </c>
      <c r="B32" s="18" t="s">
        <v>125</v>
      </c>
    </row>
    <row r="33" spans="1:2" ht="12.75">
      <c r="A33" s="44"/>
      <c r="B33" s="18"/>
    </row>
    <row r="34" ht="12.75">
      <c r="B34" s="18"/>
    </row>
    <row r="35" ht="12.75"/>
    <row r="36" ht="14.25" customHeight="1"/>
    <row r="37" spans="1:2" ht="12.75">
      <c r="A37" s="44" t="s">
        <v>68</v>
      </c>
      <c r="B37" s="18" t="s">
        <v>32</v>
      </c>
    </row>
    <row r="38" ht="12.75">
      <c r="B38" s="18"/>
    </row>
    <row r="39" ht="12.75"/>
    <row r="40" ht="12.75"/>
    <row r="41" ht="12.75"/>
    <row r="42" spans="1:2" ht="12.75">
      <c r="A42" s="44" t="s">
        <v>69</v>
      </c>
      <c r="B42" s="18" t="s">
        <v>33</v>
      </c>
    </row>
    <row r="43" ht="12.75">
      <c r="B43" s="18"/>
    </row>
    <row r="44" spans="1:2" ht="13.5" customHeight="1">
      <c r="A44" s="17"/>
      <c r="B44" s="17"/>
    </row>
    <row r="45" ht="13.5" customHeight="1">
      <c r="B45" s="19"/>
    </row>
    <row r="46" ht="13.5" customHeight="1">
      <c r="B46" s="19"/>
    </row>
    <row r="47" spans="1:9" s="2" customFormat="1" ht="12.75">
      <c r="A47" s="45" t="s">
        <v>70</v>
      </c>
      <c r="B47" s="23" t="s">
        <v>34</v>
      </c>
      <c r="C47" s="24"/>
      <c r="D47" s="24"/>
      <c r="E47" s="24"/>
      <c r="F47" s="24"/>
      <c r="I47" s="24"/>
    </row>
    <row r="48" spans="1:9" s="2" customFormat="1" ht="12.75">
      <c r="A48" s="27"/>
      <c r="B48" s="125"/>
      <c r="C48" s="24"/>
      <c r="D48" s="24"/>
      <c r="E48" s="24"/>
      <c r="F48" s="24"/>
      <c r="G48" s="24"/>
      <c r="I48" s="24"/>
    </row>
    <row r="49" spans="1:9" s="2" customFormat="1" ht="12.75">
      <c r="A49" s="27"/>
      <c r="B49" s="125"/>
      <c r="C49" s="24"/>
      <c r="D49" s="24"/>
      <c r="E49" s="24"/>
      <c r="F49" s="24"/>
      <c r="G49" s="24"/>
      <c r="I49" s="24"/>
    </row>
    <row r="50" spans="1:2" ht="13.5" customHeight="1">
      <c r="A50" s="17"/>
      <c r="B50" s="17"/>
    </row>
    <row r="51" spans="1:9" s="2" customFormat="1" ht="12.75">
      <c r="A51" s="45" t="s">
        <v>71</v>
      </c>
      <c r="B51" s="23" t="s">
        <v>37</v>
      </c>
      <c r="C51" s="24"/>
      <c r="D51" s="24"/>
      <c r="E51" s="24"/>
      <c r="F51" s="24"/>
      <c r="I51" s="24"/>
    </row>
    <row r="52" spans="1:9" s="2" customFormat="1" ht="12.75">
      <c r="A52" s="45"/>
      <c r="B52" s="23"/>
      <c r="C52" s="24"/>
      <c r="D52" s="24"/>
      <c r="E52" s="24"/>
      <c r="F52" s="24"/>
      <c r="I52" s="24"/>
    </row>
    <row r="53" spans="1:9" s="2" customFormat="1" ht="12.75">
      <c r="A53" s="45"/>
      <c r="B53" s="23"/>
      <c r="C53" s="24"/>
      <c r="D53" s="24"/>
      <c r="E53" s="24"/>
      <c r="F53" s="24"/>
      <c r="I53" s="24"/>
    </row>
    <row r="54" spans="1:9" s="2" customFormat="1" ht="12.75">
      <c r="A54" s="45"/>
      <c r="B54" s="23"/>
      <c r="C54" s="24"/>
      <c r="D54" s="24"/>
      <c r="E54" s="24"/>
      <c r="F54" s="24"/>
      <c r="I54" s="24"/>
    </row>
    <row r="55" spans="1:9" s="2" customFormat="1" ht="12.75">
      <c r="A55" s="45"/>
      <c r="B55" s="23"/>
      <c r="C55" s="24"/>
      <c r="D55" s="24"/>
      <c r="E55" s="24"/>
      <c r="F55" s="24"/>
      <c r="I55" s="24"/>
    </row>
    <row r="56" spans="1:9" s="2" customFormat="1" ht="12.75">
      <c r="A56" s="45"/>
      <c r="B56" s="1" t="s">
        <v>317</v>
      </c>
      <c r="C56" s="24"/>
      <c r="D56" s="24"/>
      <c r="E56" s="24"/>
      <c r="F56" s="24"/>
      <c r="I56" s="24"/>
    </row>
    <row r="57" spans="1:9" s="2" customFormat="1" ht="12.75">
      <c r="A57" s="45"/>
      <c r="B57" s="23"/>
      <c r="C57" s="24"/>
      <c r="D57" s="24"/>
      <c r="E57" s="24"/>
      <c r="F57" s="24"/>
      <c r="I57" s="24"/>
    </row>
    <row r="58" spans="1:9" s="2" customFormat="1" ht="12.75">
      <c r="A58" s="45"/>
      <c r="B58" s="23"/>
      <c r="C58" s="24"/>
      <c r="D58" s="24"/>
      <c r="E58" s="24"/>
      <c r="F58" s="24"/>
      <c r="I58" s="24"/>
    </row>
    <row r="59" spans="1:9" s="2" customFormat="1" ht="12.75">
      <c r="A59" s="45"/>
      <c r="B59" s="23"/>
      <c r="C59" s="24"/>
      <c r="D59" s="24"/>
      <c r="E59" s="24"/>
      <c r="F59" s="24"/>
      <c r="I59" s="24"/>
    </row>
    <row r="60" spans="1:9" s="2" customFormat="1" ht="12.75">
      <c r="A60" s="45"/>
      <c r="B60" s="23"/>
      <c r="C60" s="24"/>
      <c r="D60" s="24"/>
      <c r="E60" s="24"/>
      <c r="F60" s="24"/>
      <c r="I60" s="24"/>
    </row>
    <row r="61" spans="1:9" s="2" customFormat="1" ht="12.75">
      <c r="A61" s="27"/>
      <c r="B61" s="1" t="s">
        <v>318</v>
      </c>
      <c r="I61" s="24"/>
    </row>
    <row r="62" spans="1:9" s="2" customFormat="1" ht="12.75">
      <c r="A62" s="27"/>
      <c r="B62" s="1"/>
      <c r="I62" s="24"/>
    </row>
    <row r="63" spans="1:9" s="2" customFormat="1" ht="12.75">
      <c r="A63" s="27"/>
      <c r="B63" s="1"/>
      <c r="I63" s="24"/>
    </row>
    <row r="64" spans="1:9" s="2" customFormat="1" ht="12.75">
      <c r="A64" s="27"/>
      <c r="B64" s="1"/>
      <c r="I64" s="24"/>
    </row>
    <row r="65" spans="1:9" s="2" customFormat="1" ht="12.75">
      <c r="A65" s="27"/>
      <c r="B65" s="1"/>
      <c r="I65" s="24"/>
    </row>
    <row r="66" spans="1:9" s="2" customFormat="1" ht="12.75">
      <c r="A66" s="27"/>
      <c r="B66" s="1"/>
      <c r="I66" s="24"/>
    </row>
    <row r="67" spans="1:9" s="2" customFormat="1" ht="12.75">
      <c r="A67" s="27"/>
      <c r="B67" s="1" t="s">
        <v>319</v>
      </c>
      <c r="I67" s="24"/>
    </row>
    <row r="68" spans="1:9" s="2" customFormat="1" ht="12.75">
      <c r="A68" s="27"/>
      <c r="B68" s="1"/>
      <c r="I68" s="24"/>
    </row>
    <row r="69" spans="1:9" s="2" customFormat="1" ht="12.75">
      <c r="A69" s="27"/>
      <c r="B69" s="1"/>
      <c r="I69" s="24"/>
    </row>
    <row r="70" spans="1:9" s="2" customFormat="1" ht="12.75">
      <c r="A70" s="27"/>
      <c r="B70" s="1"/>
      <c r="I70" s="24"/>
    </row>
    <row r="71" spans="1:9" s="2" customFormat="1" ht="12.75">
      <c r="A71" s="27"/>
      <c r="B71" s="1"/>
      <c r="I71" s="24"/>
    </row>
    <row r="72" spans="1:9" s="2" customFormat="1" ht="12.75">
      <c r="A72" s="27"/>
      <c r="B72" s="1"/>
      <c r="I72" s="24"/>
    </row>
    <row r="73" spans="1:9" s="2" customFormat="1" ht="12.75">
      <c r="A73" s="27"/>
      <c r="B73" s="1"/>
      <c r="I73" s="24"/>
    </row>
    <row r="74" spans="1:9" s="2" customFormat="1" ht="12.75">
      <c r="A74" s="27"/>
      <c r="B74" s="1" t="s">
        <v>320</v>
      </c>
      <c r="I74" s="24"/>
    </row>
    <row r="75" spans="1:9" s="2" customFormat="1" ht="12.75">
      <c r="A75" s="27"/>
      <c r="B75" s="1"/>
      <c r="I75" s="24"/>
    </row>
    <row r="76" spans="1:9" s="2" customFormat="1" ht="12.75">
      <c r="A76" s="27"/>
      <c r="B76" s="1"/>
      <c r="I76" s="24"/>
    </row>
    <row r="77" spans="1:9" s="2" customFormat="1" ht="12.75">
      <c r="A77" s="27"/>
      <c r="B77" s="1"/>
      <c r="I77" s="24"/>
    </row>
    <row r="78" spans="1:9" s="2" customFormat="1" ht="12.75">
      <c r="A78" s="27"/>
      <c r="B78" s="1"/>
      <c r="I78" s="24"/>
    </row>
    <row r="79" spans="1:9" s="2" customFormat="1" ht="12.75">
      <c r="A79" s="27"/>
      <c r="B79" s="1"/>
      <c r="I79" s="24"/>
    </row>
    <row r="80" spans="1:9" s="2" customFormat="1" ht="12.75">
      <c r="A80" s="27"/>
      <c r="B80" s="1"/>
      <c r="I80" s="24"/>
    </row>
    <row r="81" spans="1:9" s="2" customFormat="1" ht="12.75">
      <c r="A81" s="27"/>
      <c r="B81" s="1"/>
      <c r="I81" s="24"/>
    </row>
    <row r="82" spans="1:9" s="2" customFormat="1" ht="12.75">
      <c r="A82" s="27"/>
      <c r="B82" s="1"/>
      <c r="I82" s="24"/>
    </row>
    <row r="83" spans="1:9" s="2" customFormat="1" ht="12.75">
      <c r="A83" s="27"/>
      <c r="B83" s="1"/>
      <c r="I83" s="24"/>
    </row>
    <row r="84" spans="1:9" s="2" customFormat="1" ht="12.75">
      <c r="A84" s="45" t="s">
        <v>72</v>
      </c>
      <c r="B84" s="23" t="s">
        <v>158</v>
      </c>
      <c r="C84" s="24"/>
      <c r="D84" s="24"/>
      <c r="E84" s="24"/>
      <c r="F84" s="24"/>
      <c r="I84" s="24"/>
    </row>
    <row r="85" spans="1:9" s="2" customFormat="1" ht="12.75">
      <c r="A85" s="27"/>
      <c r="B85" s="23"/>
      <c r="C85" s="24"/>
      <c r="D85" s="24"/>
      <c r="E85" s="24"/>
      <c r="F85" s="24"/>
      <c r="I85" s="24"/>
    </row>
    <row r="86" spans="1:9" s="2" customFormat="1" ht="12.75">
      <c r="A86" s="27"/>
      <c r="B86" s="23"/>
      <c r="C86" s="24"/>
      <c r="D86" s="24"/>
      <c r="E86" s="24"/>
      <c r="F86" s="24"/>
      <c r="I86" s="24"/>
    </row>
    <row r="87" spans="1:10" s="2" customFormat="1" ht="12.75">
      <c r="A87" s="27"/>
      <c r="B87" s="24"/>
      <c r="C87" s="24"/>
      <c r="D87" s="24"/>
      <c r="E87" s="24"/>
      <c r="F87" s="24"/>
      <c r="I87" s="24"/>
      <c r="J87" s="105" t="s">
        <v>195</v>
      </c>
    </row>
    <row r="88" spans="1:9" s="2" customFormat="1" ht="12.75">
      <c r="A88" s="45" t="s">
        <v>73</v>
      </c>
      <c r="B88" s="23" t="s">
        <v>36</v>
      </c>
      <c r="C88" s="24"/>
      <c r="D88" s="24"/>
      <c r="E88" s="24"/>
      <c r="F88" s="24"/>
      <c r="I88" s="24"/>
    </row>
    <row r="89" spans="1:9" s="2" customFormat="1" ht="12.75">
      <c r="A89" s="45"/>
      <c r="B89" s="23"/>
      <c r="C89" s="24"/>
      <c r="D89" s="24"/>
      <c r="E89" s="24"/>
      <c r="F89" s="24"/>
      <c r="I89" s="24"/>
    </row>
    <row r="90" spans="1:9" s="2" customFormat="1" ht="12.75">
      <c r="A90" s="27"/>
      <c r="C90" s="24"/>
      <c r="D90" s="24"/>
      <c r="E90" s="24"/>
      <c r="F90" s="24"/>
      <c r="G90" s="32"/>
      <c r="H90" s="32"/>
      <c r="I90" s="24"/>
    </row>
    <row r="91" spans="1:9" s="2" customFormat="1" ht="12.75">
      <c r="A91" s="27"/>
      <c r="B91" s="23"/>
      <c r="C91" s="24"/>
      <c r="D91" s="207" t="s">
        <v>57</v>
      </c>
      <c r="E91" s="207"/>
      <c r="F91" s="24"/>
      <c r="G91" s="207" t="s">
        <v>259</v>
      </c>
      <c r="H91" s="207"/>
      <c r="I91" s="24"/>
    </row>
    <row r="92" spans="1:9" s="2" customFormat="1" ht="12.75">
      <c r="A92" s="27"/>
      <c r="B92" s="23"/>
      <c r="C92" s="24"/>
      <c r="D92" s="43" t="s">
        <v>250</v>
      </c>
      <c r="E92" s="93" t="s">
        <v>251</v>
      </c>
      <c r="F92" s="93"/>
      <c r="G92" s="43" t="s">
        <v>250</v>
      </c>
      <c r="H92" s="93" t="s">
        <v>251</v>
      </c>
      <c r="I92" s="24"/>
    </row>
    <row r="93" spans="1:9" s="2" customFormat="1" ht="12.75">
      <c r="A93" s="27"/>
      <c r="B93" s="23"/>
      <c r="C93" s="24"/>
      <c r="D93" s="55" t="s">
        <v>28</v>
      </c>
      <c r="E93" s="55" t="s">
        <v>28</v>
      </c>
      <c r="F93" s="55"/>
      <c r="G93" s="55" t="s">
        <v>28</v>
      </c>
      <c r="H93" s="55" t="s">
        <v>28</v>
      </c>
      <c r="I93" s="24"/>
    </row>
    <row r="94" spans="1:9" s="2" customFormat="1" ht="12.75">
      <c r="A94" s="27"/>
      <c r="B94" s="23" t="s">
        <v>232</v>
      </c>
      <c r="C94" s="24"/>
      <c r="D94" s="32"/>
      <c r="E94" s="32"/>
      <c r="F94" s="24"/>
      <c r="G94" s="32"/>
      <c r="H94" s="32"/>
      <c r="I94" s="24"/>
    </row>
    <row r="95" spans="1:9" s="2" customFormat="1" ht="12.75">
      <c r="A95" s="27"/>
      <c r="B95" s="24" t="s">
        <v>234</v>
      </c>
      <c r="C95" s="24"/>
      <c r="D95" s="32">
        <f>G95-16297438</f>
        <v>7834571</v>
      </c>
      <c r="E95" s="32">
        <f>H95-25286458</f>
        <v>15970352</v>
      </c>
      <c r="F95" s="24"/>
      <c r="G95" s="32">
        <v>24132009</v>
      </c>
      <c r="H95" s="32">
        <v>41256810</v>
      </c>
      <c r="I95" s="24"/>
    </row>
    <row r="96" spans="1:9" s="2" customFormat="1" ht="12.75">
      <c r="A96" s="27"/>
      <c r="B96" s="24" t="s">
        <v>235</v>
      </c>
      <c r="C96" s="24"/>
      <c r="D96" s="85">
        <f>G96-761865</f>
        <v>3155442</v>
      </c>
      <c r="E96" s="85">
        <f>H96-93958</f>
        <v>9449680</v>
      </c>
      <c r="F96" s="11"/>
      <c r="G96" s="85">
        <v>3917307</v>
      </c>
      <c r="H96" s="85">
        <v>9543638</v>
      </c>
      <c r="I96" s="24"/>
    </row>
    <row r="97" spans="1:9" s="2" customFormat="1" ht="12.75">
      <c r="A97" s="27"/>
      <c r="B97" s="24" t="s">
        <v>312</v>
      </c>
      <c r="C97" s="24"/>
      <c r="D97" s="32"/>
      <c r="E97" s="32"/>
      <c r="F97" s="11"/>
      <c r="G97" s="32"/>
      <c r="H97" s="32"/>
      <c r="I97" s="24"/>
    </row>
    <row r="98" spans="1:9" s="2" customFormat="1" ht="12.75">
      <c r="A98" s="27" t="s">
        <v>175</v>
      </c>
      <c r="B98" s="24" t="s">
        <v>313</v>
      </c>
      <c r="C98" s="24"/>
      <c r="D98" s="110">
        <f>SUM(D95:D96)</f>
        <v>10990013</v>
      </c>
      <c r="E98" s="110">
        <f>SUM(E95:E96)</f>
        <v>25420032</v>
      </c>
      <c r="F98" s="110"/>
      <c r="G98" s="110">
        <f>SUM(G95:G96)</f>
        <v>28049316</v>
      </c>
      <c r="H98" s="110">
        <f>SUM(H95:H96)</f>
        <v>50800448</v>
      </c>
      <c r="I98" s="24"/>
    </row>
    <row r="99" spans="1:9" s="2" customFormat="1" ht="12.75">
      <c r="A99" s="27"/>
      <c r="B99" s="24" t="s">
        <v>236</v>
      </c>
      <c r="C99" s="24"/>
      <c r="D99" s="32">
        <f>G99+4004</f>
        <v>-3677</v>
      </c>
      <c r="E99" s="32"/>
      <c r="F99" s="24"/>
      <c r="G99" s="32">
        <v>-7681</v>
      </c>
      <c r="H99" s="32"/>
      <c r="I99" s="24"/>
    </row>
    <row r="100" spans="1:9" s="2" customFormat="1" ht="13.5" thickBot="1">
      <c r="A100" s="27"/>
      <c r="B100" s="28" t="s">
        <v>237</v>
      </c>
      <c r="C100" s="24"/>
      <c r="D100" s="113">
        <f>SUM(D98:D99)</f>
        <v>10986336</v>
      </c>
      <c r="E100" s="113">
        <f>SUM(E98:E99)</f>
        <v>25420032</v>
      </c>
      <c r="F100" s="24"/>
      <c r="G100" s="113">
        <f>SUM(G98:G99)</f>
        <v>28041635</v>
      </c>
      <c r="H100" s="113">
        <f>SUM(H98:H99)</f>
        <v>50800448</v>
      </c>
      <c r="I100" s="24"/>
    </row>
    <row r="101" spans="1:9" s="2" customFormat="1" ht="12.75">
      <c r="A101" s="27"/>
      <c r="B101" s="24"/>
      <c r="C101" s="24"/>
      <c r="D101" s="32"/>
      <c r="E101" s="32"/>
      <c r="F101" s="24"/>
      <c r="G101" s="32"/>
      <c r="H101" s="32"/>
      <c r="I101" s="24"/>
    </row>
    <row r="102" spans="1:9" s="2" customFormat="1" ht="12.75">
      <c r="A102" s="27"/>
      <c r="B102" s="23" t="s">
        <v>233</v>
      </c>
      <c r="C102" s="24"/>
      <c r="D102" s="32"/>
      <c r="E102" s="32"/>
      <c r="F102" s="24"/>
      <c r="G102" s="32"/>
      <c r="H102" s="32"/>
      <c r="I102" s="24"/>
    </row>
    <row r="103" spans="1:9" s="2" customFormat="1" ht="12.75">
      <c r="A103" s="27"/>
      <c r="B103" s="24" t="s">
        <v>234</v>
      </c>
      <c r="C103" s="24"/>
      <c r="D103" s="32">
        <f>G103-2785750</f>
        <v>162308</v>
      </c>
      <c r="E103" s="32">
        <f>H103-2806336</f>
        <v>732794</v>
      </c>
      <c r="F103" s="11"/>
      <c r="G103" s="32">
        <v>2948058</v>
      </c>
      <c r="H103" s="32">
        <f>3878535-339405</f>
        <v>3539130</v>
      </c>
      <c r="I103" s="24"/>
    </row>
    <row r="104" spans="1:9" s="2" customFormat="1" ht="12.75">
      <c r="A104" s="27"/>
      <c r="B104" s="24" t="s">
        <v>235</v>
      </c>
      <c r="C104" s="24"/>
      <c r="D104" s="85">
        <f>G104+213114</f>
        <v>225970</v>
      </c>
      <c r="E104" s="85">
        <f>H104+276547</f>
        <v>2312544</v>
      </c>
      <c r="F104" s="11"/>
      <c r="G104" s="85">
        <v>12856</v>
      </c>
      <c r="H104" s="85">
        <v>2035997</v>
      </c>
      <c r="I104" s="24"/>
    </row>
    <row r="105" spans="1:9" s="2" customFormat="1" ht="12.75">
      <c r="A105" s="27"/>
      <c r="B105" s="24" t="s">
        <v>238</v>
      </c>
      <c r="C105" s="24"/>
      <c r="D105" s="32">
        <f>SUM(D103:D104)</f>
        <v>388278</v>
      </c>
      <c r="E105" s="32">
        <f>SUM(E103:E104)</f>
        <v>3045338</v>
      </c>
      <c r="F105" s="80"/>
      <c r="G105" s="32">
        <f>SUM(G103:G104)</f>
        <v>2960914</v>
      </c>
      <c r="H105" s="32">
        <f>SUM(H103:H104)</f>
        <v>5575127</v>
      </c>
      <c r="I105" s="24"/>
    </row>
    <row r="106" spans="1:9" s="2" customFormat="1" ht="12.75">
      <c r="A106" s="27"/>
      <c r="B106" s="24" t="s">
        <v>221</v>
      </c>
      <c r="C106" s="24"/>
      <c r="D106" s="32">
        <f>G106+52369</f>
        <v>-53901</v>
      </c>
      <c r="E106" s="32">
        <f>H106+27275</f>
        <v>-49604</v>
      </c>
      <c r="F106" s="80"/>
      <c r="G106" s="32">
        <v>-106270</v>
      </c>
      <c r="H106" s="32">
        <v>-76879</v>
      </c>
      <c r="I106" s="24"/>
    </row>
    <row r="107" spans="1:9" s="2" customFormat="1" ht="13.5" thickBot="1">
      <c r="A107" s="27"/>
      <c r="B107" s="24" t="s">
        <v>222</v>
      </c>
      <c r="C107" s="24"/>
      <c r="D107" s="113">
        <f>SUM(D105:D106)</f>
        <v>334377</v>
      </c>
      <c r="E107" s="113">
        <f>SUM(E105:E106)</f>
        <v>2995734</v>
      </c>
      <c r="F107" s="24"/>
      <c r="G107" s="113">
        <f>SUM(G105:G106)</f>
        <v>2854644</v>
      </c>
      <c r="H107" s="113">
        <f>SUM(H105:H106)</f>
        <v>5498248</v>
      </c>
      <c r="I107" s="24"/>
    </row>
    <row r="108" spans="1:9" s="2" customFormat="1" ht="12.75">
      <c r="A108" s="27"/>
      <c r="B108" s="23"/>
      <c r="C108" s="24"/>
      <c r="D108" s="24"/>
      <c r="E108" s="24"/>
      <c r="F108" s="24"/>
      <c r="G108" s="32"/>
      <c r="H108" s="32"/>
      <c r="I108" s="24"/>
    </row>
    <row r="109" spans="1:9" s="2" customFormat="1" ht="12.75">
      <c r="A109" s="45" t="s">
        <v>74</v>
      </c>
      <c r="B109" s="23" t="s">
        <v>54</v>
      </c>
      <c r="C109" s="24"/>
      <c r="D109" s="24"/>
      <c r="E109" s="24"/>
      <c r="F109" s="24"/>
      <c r="I109" s="24"/>
    </row>
    <row r="110" spans="1:9" s="2" customFormat="1" ht="12.75">
      <c r="A110" s="45"/>
      <c r="B110" s="23"/>
      <c r="C110" s="24"/>
      <c r="D110" s="24"/>
      <c r="E110" s="24"/>
      <c r="F110" s="24"/>
      <c r="I110" s="24"/>
    </row>
    <row r="111" spans="1:9" s="2" customFormat="1" ht="12.75">
      <c r="A111" s="45"/>
      <c r="B111" s="23"/>
      <c r="C111" s="24"/>
      <c r="D111" s="24"/>
      <c r="E111" s="24"/>
      <c r="F111" s="24"/>
      <c r="I111" s="24"/>
    </row>
    <row r="112" spans="1:9" s="2" customFormat="1" ht="12.75">
      <c r="A112" s="27"/>
      <c r="I112" s="24"/>
    </row>
    <row r="113" spans="1:9" s="2" customFormat="1" ht="12.75">
      <c r="A113" s="27"/>
      <c r="I113" s="24"/>
    </row>
    <row r="114" spans="1:9" s="2" customFormat="1" ht="12.75">
      <c r="A114" s="45" t="s">
        <v>75</v>
      </c>
      <c r="B114" s="23" t="s">
        <v>126</v>
      </c>
      <c r="C114" s="64"/>
      <c r="D114" s="64"/>
      <c r="E114" s="64"/>
      <c r="F114" s="64"/>
      <c r="I114" s="24"/>
    </row>
    <row r="115" spans="1:9" s="2" customFormat="1" ht="12.75">
      <c r="A115" s="27"/>
      <c r="B115" s="23"/>
      <c r="C115" s="24"/>
      <c r="D115" s="24"/>
      <c r="E115" s="24"/>
      <c r="F115" s="24"/>
      <c r="I115" s="24"/>
    </row>
    <row r="116" spans="1:9" s="2" customFormat="1" ht="12.75">
      <c r="A116" s="27"/>
      <c r="I116" s="24"/>
    </row>
    <row r="117" spans="1:9" s="2" customFormat="1" ht="12.75">
      <c r="A117" s="27"/>
      <c r="I117" s="24"/>
    </row>
    <row r="118" spans="1:9" s="2" customFormat="1" ht="12.75">
      <c r="A118" s="27"/>
      <c r="I118" s="24"/>
    </row>
    <row r="119" spans="1:9" s="2" customFormat="1" ht="12.75">
      <c r="A119" s="27"/>
      <c r="B119" s="1" t="s">
        <v>321</v>
      </c>
      <c r="I119" s="24"/>
    </row>
    <row r="120" spans="1:9" s="2" customFormat="1" ht="12.75">
      <c r="A120" s="27"/>
      <c r="B120" s="1"/>
      <c r="I120" s="24"/>
    </row>
    <row r="121" spans="1:9" s="2" customFormat="1" ht="12.75">
      <c r="A121" s="27"/>
      <c r="B121" s="1"/>
      <c r="I121" s="24"/>
    </row>
    <row r="122" spans="1:9" s="2" customFormat="1" ht="12.75">
      <c r="A122" s="27"/>
      <c r="B122" s="1"/>
      <c r="I122" s="24"/>
    </row>
    <row r="123" spans="1:9" s="2" customFormat="1" ht="12.75">
      <c r="A123" s="27"/>
      <c r="B123" s="1"/>
      <c r="I123" s="24"/>
    </row>
    <row r="124" spans="1:46" s="2" customFormat="1" ht="12.75">
      <c r="A124" s="100"/>
      <c r="B124" s="27" t="s">
        <v>337</v>
      </c>
      <c r="C124" s="27"/>
      <c r="D124" s="29"/>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row>
    <row r="125" spans="1:46" s="2" customFormat="1" ht="12.75">
      <c r="A125" s="100"/>
      <c r="B125" s="29"/>
      <c r="C125" s="29"/>
      <c r="D125" s="29"/>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row>
    <row r="126" spans="1:46" s="2" customFormat="1" ht="12.75">
      <c r="A126" s="100"/>
      <c r="B126" s="29"/>
      <c r="C126" s="29"/>
      <c r="D126" s="29"/>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row>
    <row r="127" spans="1:46" s="2" customFormat="1" ht="12.75">
      <c r="A127" s="100"/>
      <c r="B127" s="29"/>
      <c r="C127" s="29"/>
      <c r="D127" s="29"/>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row>
    <row r="128" spans="1:46" s="2" customFormat="1" ht="12.75">
      <c r="A128" s="100"/>
      <c r="B128" s="29"/>
      <c r="C128" s="29"/>
      <c r="D128" s="29"/>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row>
    <row r="129" spans="1:46" s="2" customFormat="1" ht="12.75">
      <c r="A129" s="100"/>
      <c r="B129" s="29"/>
      <c r="C129" s="29"/>
      <c r="D129" s="29"/>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row>
    <row r="130" spans="1:46" s="2" customFormat="1" ht="12.75">
      <c r="A130" s="100"/>
      <c r="B130" s="29"/>
      <c r="C130" s="29"/>
      <c r="D130" s="29"/>
      <c r="E130" s="25"/>
      <c r="F130" s="25"/>
      <c r="G130" s="25"/>
      <c r="H130" s="25"/>
      <c r="I130" s="25"/>
      <c r="J130" s="124"/>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row>
    <row r="131" spans="1:46" s="2" customFormat="1" ht="12.75">
      <c r="A131" s="100"/>
      <c r="B131" s="29"/>
      <c r="C131" s="29"/>
      <c r="D131" s="29"/>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row>
    <row r="132" spans="1:46" s="2" customFormat="1" ht="12.75">
      <c r="A132" s="100"/>
      <c r="B132" s="29"/>
      <c r="C132" s="29"/>
      <c r="D132" s="29"/>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row>
    <row r="133" spans="1:46" s="2" customFormat="1" ht="12.75">
      <c r="A133" s="100"/>
      <c r="B133" s="29"/>
      <c r="C133" s="29"/>
      <c r="D133" s="29"/>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row>
    <row r="134" spans="1:46" s="2" customFormat="1" ht="12.75">
      <c r="A134" s="100"/>
      <c r="B134" s="29"/>
      <c r="C134" s="29"/>
      <c r="D134" s="29"/>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row>
    <row r="135" spans="1:9" s="65" customFormat="1" ht="12.75">
      <c r="A135" s="71" t="s">
        <v>76</v>
      </c>
      <c r="B135" s="23" t="s">
        <v>31</v>
      </c>
      <c r="C135" s="64"/>
      <c r="D135" s="64"/>
      <c r="E135" s="64"/>
      <c r="F135" s="64"/>
      <c r="I135" s="64"/>
    </row>
    <row r="136" spans="1:9" s="65" customFormat="1" ht="12.75">
      <c r="A136" s="66"/>
      <c r="B136" s="64"/>
      <c r="C136" s="64"/>
      <c r="D136" s="64"/>
      <c r="E136" s="64"/>
      <c r="F136" s="64"/>
      <c r="I136" s="64"/>
    </row>
    <row r="137" spans="1:9" s="65" customFormat="1" ht="12.75">
      <c r="A137" s="66"/>
      <c r="B137" s="64"/>
      <c r="C137" s="64"/>
      <c r="D137" s="64"/>
      <c r="E137" s="64"/>
      <c r="F137" s="64"/>
      <c r="I137" s="64"/>
    </row>
    <row r="138" spans="1:9" s="65" customFormat="1" ht="12.75">
      <c r="A138" s="66"/>
      <c r="B138" s="64"/>
      <c r="C138" s="64"/>
      <c r="D138" s="64"/>
      <c r="E138" s="64"/>
      <c r="F138" s="64"/>
      <c r="I138" s="64"/>
    </row>
    <row r="139" spans="1:9" s="65" customFormat="1" ht="12.75">
      <c r="A139" s="66"/>
      <c r="B139" s="64"/>
      <c r="C139" s="64"/>
      <c r="D139" s="64"/>
      <c r="E139" s="64"/>
      <c r="F139" s="64"/>
      <c r="I139" s="64"/>
    </row>
    <row r="140" spans="1:9" s="65" customFormat="1" ht="12.75">
      <c r="A140" s="27"/>
      <c r="B140" s="1" t="s">
        <v>239</v>
      </c>
      <c r="C140" s="2"/>
      <c r="D140" s="2"/>
      <c r="E140" s="2"/>
      <c r="F140" s="2"/>
      <c r="G140" s="2"/>
      <c r="H140" s="2"/>
      <c r="I140" s="64"/>
    </row>
    <row r="141" spans="1:9" s="65" customFormat="1" ht="12.75">
      <c r="A141" s="27"/>
      <c r="B141" s="193"/>
      <c r="C141" s="2"/>
      <c r="D141" s="2"/>
      <c r="E141" s="2"/>
      <c r="F141" s="2"/>
      <c r="G141" s="2"/>
      <c r="H141" s="2"/>
      <c r="I141" s="64"/>
    </row>
    <row r="142" spans="1:9" s="65" customFormat="1" ht="12.75">
      <c r="A142" s="27"/>
      <c r="B142" s="1"/>
      <c r="C142" s="2"/>
      <c r="D142" s="2"/>
      <c r="E142" s="2"/>
      <c r="F142" s="2"/>
      <c r="G142" s="2"/>
      <c r="H142" s="2"/>
      <c r="I142" s="64"/>
    </row>
    <row r="143" spans="1:9" s="65" customFormat="1" ht="12.75">
      <c r="A143" s="27"/>
      <c r="B143" s="1"/>
      <c r="C143" s="2"/>
      <c r="D143" s="2"/>
      <c r="E143" s="2"/>
      <c r="F143" s="2"/>
      <c r="G143" s="2"/>
      <c r="H143" s="2"/>
      <c r="I143" s="64"/>
    </row>
    <row r="144" spans="1:9" s="65" customFormat="1" ht="12.75">
      <c r="A144" s="27"/>
      <c r="B144" s="1"/>
      <c r="C144" s="2"/>
      <c r="D144" s="2"/>
      <c r="E144" s="2"/>
      <c r="F144" s="2"/>
      <c r="G144" s="2"/>
      <c r="H144" s="2"/>
      <c r="I144" s="64"/>
    </row>
    <row r="145" spans="1:9" s="65" customFormat="1" ht="12.75">
      <c r="A145" s="27"/>
      <c r="B145" s="1"/>
      <c r="C145" s="2"/>
      <c r="D145" s="2"/>
      <c r="E145" s="2"/>
      <c r="F145" s="2"/>
      <c r="G145" s="2"/>
      <c r="H145" s="2"/>
      <c r="I145" s="64"/>
    </row>
    <row r="146" spans="1:9" s="65" customFormat="1" ht="12.75">
      <c r="A146" s="27"/>
      <c r="B146" s="1"/>
      <c r="C146" s="2"/>
      <c r="D146" s="2"/>
      <c r="E146" s="2"/>
      <c r="F146" s="2"/>
      <c r="G146" s="2"/>
      <c r="H146" s="2"/>
      <c r="I146" s="64"/>
    </row>
    <row r="147" spans="1:9" s="65" customFormat="1" ht="12.75">
      <c r="A147" s="27"/>
      <c r="B147" s="1"/>
      <c r="C147" s="2"/>
      <c r="D147" s="2"/>
      <c r="E147" s="2"/>
      <c r="F147" s="2"/>
      <c r="G147" s="2"/>
      <c r="H147" s="2"/>
      <c r="I147" s="64"/>
    </row>
    <row r="148" spans="1:9" s="65" customFormat="1" ht="12.75">
      <c r="A148" s="27"/>
      <c r="B148" s="1"/>
      <c r="C148" s="2"/>
      <c r="D148" s="2"/>
      <c r="E148" s="2"/>
      <c r="F148" s="2"/>
      <c r="G148" s="2"/>
      <c r="H148" s="2"/>
      <c r="I148" s="64"/>
    </row>
    <row r="149" spans="1:9" s="65" customFormat="1" ht="12.75">
      <c r="A149" s="27"/>
      <c r="B149" s="1" t="s">
        <v>310</v>
      </c>
      <c r="C149" s="2"/>
      <c r="D149" s="2"/>
      <c r="E149" s="2"/>
      <c r="F149" s="2"/>
      <c r="G149" s="2"/>
      <c r="H149" s="2"/>
      <c r="I149" s="64"/>
    </row>
    <row r="150" spans="1:9" s="65" customFormat="1" ht="12.75">
      <c r="A150" s="27"/>
      <c r="B150" s="1"/>
      <c r="C150" s="2"/>
      <c r="D150" s="2"/>
      <c r="E150" s="2"/>
      <c r="F150" s="2"/>
      <c r="G150" s="2"/>
      <c r="H150" s="2"/>
      <c r="I150" s="64"/>
    </row>
    <row r="151" spans="1:9" s="65" customFormat="1" ht="12.75">
      <c r="A151" s="27"/>
      <c r="B151" s="1"/>
      <c r="C151" s="2"/>
      <c r="D151" s="2"/>
      <c r="E151" s="2"/>
      <c r="F151" s="2"/>
      <c r="G151" s="2"/>
      <c r="H151" s="2"/>
      <c r="I151" s="64"/>
    </row>
    <row r="152" spans="1:9" s="65" customFormat="1" ht="12.75">
      <c r="A152" s="27"/>
      <c r="B152" s="1"/>
      <c r="C152" s="2"/>
      <c r="D152" s="2"/>
      <c r="E152" s="2"/>
      <c r="F152" s="2"/>
      <c r="G152" s="2"/>
      <c r="H152" s="2"/>
      <c r="I152" s="64"/>
    </row>
    <row r="153" spans="1:9" s="65" customFormat="1" ht="12.75">
      <c r="A153" s="27"/>
      <c r="B153" s="1"/>
      <c r="C153" s="2"/>
      <c r="D153" s="2"/>
      <c r="E153" s="2"/>
      <c r="F153" s="2"/>
      <c r="G153" s="2"/>
      <c r="H153" s="2"/>
      <c r="I153" s="64"/>
    </row>
    <row r="154" spans="1:9" s="65" customFormat="1" ht="12.75">
      <c r="A154" s="27"/>
      <c r="B154" s="1"/>
      <c r="C154" s="2"/>
      <c r="D154" s="2"/>
      <c r="E154" s="2"/>
      <c r="F154" s="2"/>
      <c r="G154" s="2"/>
      <c r="H154" s="2"/>
      <c r="I154" s="64"/>
    </row>
    <row r="155" spans="1:9" s="65" customFormat="1" ht="12.75">
      <c r="A155" s="27"/>
      <c r="B155" s="1"/>
      <c r="C155" s="2"/>
      <c r="D155" s="2"/>
      <c r="E155" s="2"/>
      <c r="F155" s="2"/>
      <c r="G155" s="2"/>
      <c r="H155" s="2"/>
      <c r="I155" s="64"/>
    </row>
    <row r="156" spans="1:9" s="65" customFormat="1" ht="12.75">
      <c r="A156" s="27"/>
      <c r="B156" s="1"/>
      <c r="C156" s="2"/>
      <c r="D156" s="2"/>
      <c r="E156" s="2"/>
      <c r="F156" s="2"/>
      <c r="G156" s="2"/>
      <c r="H156" s="2"/>
      <c r="I156" s="64"/>
    </row>
    <row r="157" spans="1:9" s="65" customFormat="1" ht="12.75">
      <c r="A157" s="27"/>
      <c r="B157" s="1"/>
      <c r="C157" s="2"/>
      <c r="D157" s="2"/>
      <c r="E157" s="2"/>
      <c r="F157" s="2"/>
      <c r="G157" s="2"/>
      <c r="H157" s="2"/>
      <c r="I157" s="64"/>
    </row>
    <row r="158" spans="1:9" s="65" customFormat="1" ht="12.75">
      <c r="A158" s="27"/>
      <c r="B158" s="1"/>
      <c r="C158" s="2"/>
      <c r="D158" s="2"/>
      <c r="E158" s="2"/>
      <c r="F158" s="2"/>
      <c r="G158" s="2"/>
      <c r="H158" s="2"/>
      <c r="I158" s="64"/>
    </row>
    <row r="159" spans="1:9" s="65" customFormat="1" ht="12.75">
      <c r="A159" s="27"/>
      <c r="B159" s="1"/>
      <c r="C159" s="2"/>
      <c r="D159" s="2"/>
      <c r="E159" s="2"/>
      <c r="F159" s="2"/>
      <c r="G159" s="2"/>
      <c r="H159" s="2"/>
      <c r="I159" s="64"/>
    </row>
    <row r="160" spans="1:9" s="65" customFormat="1" ht="12.75">
      <c r="A160" s="27"/>
      <c r="B160" s="1"/>
      <c r="C160" s="2"/>
      <c r="D160" s="2"/>
      <c r="E160" s="2"/>
      <c r="F160" s="2"/>
      <c r="G160" s="2"/>
      <c r="H160" s="2"/>
      <c r="I160" s="64"/>
    </row>
    <row r="161" spans="1:9" s="65" customFormat="1" ht="12.75">
      <c r="A161" s="27"/>
      <c r="B161" s="1"/>
      <c r="C161" s="2"/>
      <c r="D161" s="2"/>
      <c r="E161" s="2"/>
      <c r="F161" s="2"/>
      <c r="G161" s="2"/>
      <c r="H161" s="2"/>
      <c r="I161" s="64"/>
    </row>
    <row r="162" spans="1:9" s="65" customFormat="1" ht="12.75">
      <c r="A162" s="27"/>
      <c r="B162" s="1" t="s">
        <v>314</v>
      </c>
      <c r="C162" s="2"/>
      <c r="D162" s="2"/>
      <c r="E162" s="2"/>
      <c r="F162" s="2"/>
      <c r="G162" s="2"/>
      <c r="H162" s="2"/>
      <c r="I162" s="64"/>
    </row>
    <row r="163" spans="1:9" s="65" customFormat="1" ht="12.75">
      <c r="A163" s="27"/>
      <c r="B163" s="1"/>
      <c r="C163" s="2"/>
      <c r="D163" s="2"/>
      <c r="E163" s="2"/>
      <c r="F163" s="2"/>
      <c r="G163" s="2"/>
      <c r="H163" s="2"/>
      <c r="I163" s="64"/>
    </row>
    <row r="164" spans="1:9" s="65" customFormat="1" ht="12.75">
      <c r="A164" s="27"/>
      <c r="B164" s="1"/>
      <c r="C164" s="2"/>
      <c r="D164" s="2"/>
      <c r="E164" s="2"/>
      <c r="F164" s="2"/>
      <c r="G164" s="2"/>
      <c r="H164" s="2"/>
      <c r="I164" s="64"/>
    </row>
    <row r="165" spans="1:9" s="65" customFormat="1" ht="12.75">
      <c r="A165" s="27"/>
      <c r="B165" s="1"/>
      <c r="C165" s="2"/>
      <c r="D165" s="2"/>
      <c r="E165" s="2"/>
      <c r="F165" s="2"/>
      <c r="G165" s="2"/>
      <c r="H165" s="2"/>
      <c r="I165" s="64"/>
    </row>
    <row r="166" spans="1:9" s="65" customFormat="1" ht="12.75">
      <c r="A166" s="27"/>
      <c r="B166" s="1"/>
      <c r="C166" s="2"/>
      <c r="D166" s="2"/>
      <c r="E166" s="2"/>
      <c r="F166" s="2"/>
      <c r="G166" s="2"/>
      <c r="H166" s="2"/>
      <c r="I166" s="64"/>
    </row>
    <row r="167" spans="1:9" s="65" customFormat="1" ht="12.75">
      <c r="A167" s="27"/>
      <c r="B167" s="1"/>
      <c r="C167" s="2"/>
      <c r="D167" s="2"/>
      <c r="E167" s="2"/>
      <c r="F167" s="2"/>
      <c r="G167" s="2"/>
      <c r="H167" s="2"/>
      <c r="I167" s="64"/>
    </row>
    <row r="168" spans="1:9" s="65" customFormat="1" ht="12.75">
      <c r="A168" s="27"/>
      <c r="B168" s="1"/>
      <c r="C168" s="2"/>
      <c r="D168" s="2"/>
      <c r="E168" s="2"/>
      <c r="F168" s="2"/>
      <c r="G168" s="2"/>
      <c r="H168" s="2"/>
      <c r="I168" s="64"/>
    </row>
    <row r="169" spans="1:9" s="65" customFormat="1" ht="12.75">
      <c r="A169" s="71" t="s">
        <v>76</v>
      </c>
      <c r="B169" s="23" t="s">
        <v>338</v>
      </c>
      <c r="C169" s="2"/>
      <c r="D169" s="2"/>
      <c r="E169" s="2"/>
      <c r="F169" s="2"/>
      <c r="G169" s="2"/>
      <c r="H169" s="2"/>
      <c r="I169" s="64"/>
    </row>
    <row r="170" spans="1:9" s="65" customFormat="1" ht="12.75">
      <c r="A170" s="27"/>
      <c r="B170" s="1"/>
      <c r="C170" s="2"/>
      <c r="D170" s="2"/>
      <c r="E170" s="2"/>
      <c r="F170" s="2"/>
      <c r="G170" s="2"/>
      <c r="H170" s="2"/>
      <c r="I170" s="64"/>
    </row>
    <row r="171" spans="1:9" s="65" customFormat="1" ht="12.75">
      <c r="A171" s="27"/>
      <c r="B171" s="1" t="s">
        <v>315</v>
      </c>
      <c r="C171" s="2"/>
      <c r="D171" s="2"/>
      <c r="E171" s="2"/>
      <c r="F171" s="2"/>
      <c r="G171" s="2"/>
      <c r="H171" s="2"/>
      <c r="I171" s="64"/>
    </row>
    <row r="172" spans="1:9" s="65" customFormat="1" ht="12.75">
      <c r="A172" s="27"/>
      <c r="B172" s="1"/>
      <c r="C172" s="2"/>
      <c r="D172" s="2"/>
      <c r="E172" s="2"/>
      <c r="F172" s="2"/>
      <c r="G172" s="2"/>
      <c r="H172" s="2"/>
      <c r="I172" s="64"/>
    </row>
    <row r="173" spans="1:9" s="65" customFormat="1" ht="12.75">
      <c r="A173" s="27"/>
      <c r="B173" s="1"/>
      <c r="C173" s="2"/>
      <c r="D173" s="2"/>
      <c r="E173" s="2"/>
      <c r="F173" s="2"/>
      <c r="G173" s="2"/>
      <c r="H173" s="2"/>
      <c r="I173" s="64"/>
    </row>
    <row r="174" spans="1:9" s="38" customFormat="1" ht="12.75">
      <c r="A174" s="27"/>
      <c r="B174" s="1"/>
      <c r="C174" s="2"/>
      <c r="D174" s="2"/>
      <c r="E174" s="2"/>
      <c r="F174" s="2"/>
      <c r="G174" s="2"/>
      <c r="H174" s="2"/>
      <c r="I174" s="28"/>
    </row>
    <row r="175" spans="1:9" s="38" customFormat="1" ht="12.75">
      <c r="A175" s="27"/>
      <c r="B175" s="1"/>
      <c r="C175" s="2"/>
      <c r="D175" s="2"/>
      <c r="E175" s="2"/>
      <c r="F175" s="2"/>
      <c r="G175" s="2"/>
      <c r="H175" s="2"/>
      <c r="I175" s="28"/>
    </row>
    <row r="176" spans="1:9" s="38" customFormat="1" ht="12.75">
      <c r="A176" s="27"/>
      <c r="B176" s="1"/>
      <c r="C176" s="2"/>
      <c r="D176" s="2"/>
      <c r="E176" s="2"/>
      <c r="F176" s="2"/>
      <c r="G176" s="2"/>
      <c r="H176" s="2"/>
      <c r="I176" s="28"/>
    </row>
    <row r="177" spans="1:9" s="38" customFormat="1" ht="12.75">
      <c r="A177" s="27"/>
      <c r="B177" s="1"/>
      <c r="C177" s="2"/>
      <c r="D177" s="2"/>
      <c r="E177" s="2"/>
      <c r="F177" s="2"/>
      <c r="G177" s="2"/>
      <c r="H177" s="2"/>
      <c r="I177" s="28"/>
    </row>
    <row r="178" spans="1:9" s="38" customFormat="1" ht="12.75">
      <c r="A178" s="45" t="s">
        <v>77</v>
      </c>
      <c r="B178" s="37" t="s">
        <v>332</v>
      </c>
      <c r="C178" s="2"/>
      <c r="D178" s="2"/>
      <c r="E178" s="2"/>
      <c r="F178" s="2"/>
      <c r="G178" s="2"/>
      <c r="H178" s="2"/>
      <c r="I178" s="28"/>
    </row>
    <row r="179" spans="1:9" s="38" customFormat="1" ht="12.75">
      <c r="A179" s="45"/>
      <c r="B179" s="1"/>
      <c r="C179" s="2"/>
      <c r="D179" s="2"/>
      <c r="E179" s="2"/>
      <c r="F179" s="2"/>
      <c r="G179" s="2"/>
      <c r="H179" s="2"/>
      <c r="I179" s="28"/>
    </row>
    <row r="180" spans="1:9" s="38" customFormat="1" ht="12.75">
      <c r="A180" s="45"/>
      <c r="B180" s="1"/>
      <c r="C180" s="2"/>
      <c r="D180" s="2"/>
      <c r="E180" s="2"/>
      <c r="F180" s="2"/>
      <c r="G180" s="2"/>
      <c r="H180" s="2"/>
      <c r="I180" s="28"/>
    </row>
    <row r="181" spans="1:9" s="38" customFormat="1" ht="12.75">
      <c r="A181" s="27"/>
      <c r="B181" s="1"/>
      <c r="C181" s="2"/>
      <c r="D181" s="2"/>
      <c r="E181" s="2"/>
      <c r="F181" s="2"/>
      <c r="G181" s="2"/>
      <c r="H181" s="2"/>
      <c r="I181" s="28"/>
    </row>
    <row r="182" spans="1:9" s="38" customFormat="1" ht="12.75">
      <c r="A182" s="71"/>
      <c r="B182" s="37"/>
      <c r="C182" s="67"/>
      <c r="D182" s="67"/>
      <c r="E182" s="67"/>
      <c r="F182" s="67"/>
      <c r="I182" s="28"/>
    </row>
    <row r="183" spans="1:9" s="38" customFormat="1" ht="12.75">
      <c r="A183" s="71"/>
      <c r="B183" s="37"/>
      <c r="C183" s="67"/>
      <c r="D183" s="67"/>
      <c r="E183" s="67"/>
      <c r="F183" s="67"/>
      <c r="G183" s="119"/>
      <c r="H183" s="121" t="s">
        <v>196</v>
      </c>
      <c r="I183" s="28"/>
    </row>
    <row r="184" spans="1:9" s="38" customFormat="1" ht="12.75">
      <c r="A184" s="36"/>
      <c r="B184" s="28"/>
      <c r="C184" s="28"/>
      <c r="D184" s="28"/>
      <c r="E184" s="28"/>
      <c r="F184" s="28"/>
      <c r="G184" s="83"/>
      <c r="H184" s="83" t="s">
        <v>250</v>
      </c>
      <c r="I184" s="28"/>
    </row>
    <row r="185" spans="1:9" s="38" customFormat="1" ht="12.75">
      <c r="A185" s="36"/>
      <c r="B185" s="37"/>
      <c r="C185" s="28"/>
      <c r="D185" s="28"/>
      <c r="E185" s="28"/>
      <c r="F185" s="28"/>
      <c r="G185" s="83"/>
      <c r="H185" s="83" t="s">
        <v>240</v>
      </c>
      <c r="I185" s="28"/>
    </row>
    <row r="186" spans="1:9" s="38" customFormat="1" ht="12.75">
      <c r="A186" s="36"/>
      <c r="B186" s="28" t="s">
        <v>241</v>
      </c>
      <c r="C186" s="28"/>
      <c r="D186" s="28"/>
      <c r="E186" s="28"/>
      <c r="F186" s="28"/>
      <c r="G186" s="28"/>
      <c r="I186" s="28"/>
    </row>
    <row r="187" spans="1:9" s="38" customFormat="1" ht="13.5" thickBot="1">
      <c r="A187" s="36"/>
      <c r="B187" s="28" t="s">
        <v>261</v>
      </c>
      <c r="C187" s="28"/>
      <c r="D187" s="28"/>
      <c r="E187" s="28"/>
      <c r="F187" s="28"/>
      <c r="G187" s="118"/>
      <c r="H187" s="96">
        <v>31500000</v>
      </c>
      <c r="I187" s="28"/>
    </row>
    <row r="188" spans="1:9" s="2" customFormat="1" ht="12.75">
      <c r="A188" s="27"/>
      <c r="B188" s="24"/>
      <c r="C188" s="24"/>
      <c r="D188" s="24"/>
      <c r="E188" s="24"/>
      <c r="F188" s="24"/>
      <c r="I188" s="24"/>
    </row>
    <row r="189" spans="1:9" s="2" customFormat="1" ht="12.75" customHeight="1">
      <c r="A189" s="45" t="s">
        <v>159</v>
      </c>
      <c r="B189" s="23" t="s">
        <v>78</v>
      </c>
      <c r="C189" s="64"/>
      <c r="D189" s="64"/>
      <c r="E189" s="64"/>
      <c r="F189" s="64"/>
      <c r="I189" s="24"/>
    </row>
    <row r="190" spans="1:9" s="2" customFormat="1" ht="12.75">
      <c r="A190" s="45"/>
      <c r="B190" s="23"/>
      <c r="C190" s="24"/>
      <c r="D190" s="24"/>
      <c r="E190" s="24"/>
      <c r="F190" s="24"/>
      <c r="I190" s="24"/>
    </row>
    <row r="191" spans="1:9" s="2" customFormat="1" ht="12.75">
      <c r="A191" s="27"/>
      <c r="B191" s="24"/>
      <c r="C191" s="24"/>
      <c r="D191" s="24"/>
      <c r="E191" s="24"/>
      <c r="F191" s="24"/>
      <c r="I191" s="24"/>
    </row>
    <row r="192" spans="1:9" s="2" customFormat="1" ht="12.75">
      <c r="A192" s="27"/>
      <c r="B192" s="28"/>
      <c r="C192" s="24"/>
      <c r="D192" s="24"/>
      <c r="E192" s="24"/>
      <c r="F192" s="24"/>
      <c r="I192" s="24"/>
    </row>
    <row r="193" spans="1:9" s="2" customFormat="1" ht="12.75">
      <c r="A193" s="27"/>
      <c r="B193" s="28"/>
      <c r="C193" s="24"/>
      <c r="D193" s="24"/>
      <c r="E193" s="24"/>
      <c r="F193" s="24"/>
      <c r="I193" s="24"/>
    </row>
    <row r="194" spans="1:9" s="2" customFormat="1" ht="12.75">
      <c r="A194" s="27"/>
      <c r="B194" s="28"/>
      <c r="C194" s="24"/>
      <c r="D194" s="24"/>
      <c r="E194" s="24"/>
      <c r="F194" s="24"/>
      <c r="G194" s="32"/>
      <c r="H194" s="93" t="s">
        <v>250</v>
      </c>
      <c r="I194" s="24"/>
    </row>
    <row r="195" spans="1:9" s="2" customFormat="1" ht="12.75">
      <c r="A195" s="27"/>
      <c r="B195" s="24"/>
      <c r="C195" s="24"/>
      <c r="D195" s="24"/>
      <c r="E195" s="24"/>
      <c r="F195" s="24"/>
      <c r="G195" s="32"/>
      <c r="H195" s="93" t="s">
        <v>28</v>
      </c>
      <c r="I195" s="24"/>
    </row>
    <row r="196" spans="1:9" s="2" customFormat="1" ht="12.75">
      <c r="A196" s="27"/>
      <c r="B196" s="24"/>
      <c r="C196" s="24"/>
      <c r="D196" s="24"/>
      <c r="E196" s="24"/>
      <c r="F196" s="24"/>
      <c r="G196" s="3"/>
      <c r="H196" s="3"/>
      <c r="I196" s="24"/>
    </row>
    <row r="197" spans="1:9" s="2" customFormat="1" ht="12.75">
      <c r="A197" s="27"/>
      <c r="B197" s="24" t="s">
        <v>242</v>
      </c>
      <c r="C197" s="24"/>
      <c r="D197" s="24"/>
      <c r="E197" s="24"/>
      <c r="F197" s="24"/>
      <c r="G197" s="3"/>
      <c r="H197" s="3"/>
      <c r="I197" s="24"/>
    </row>
    <row r="198" spans="1:9" s="2" customFormat="1" ht="12.75">
      <c r="A198" s="27"/>
      <c r="B198" s="24" t="s">
        <v>243</v>
      </c>
      <c r="C198" s="24"/>
      <c r="D198" s="24"/>
      <c r="E198" s="24"/>
      <c r="F198" s="24"/>
      <c r="G198" s="3"/>
      <c r="H198" s="11">
        <f>199379</f>
        <v>199379</v>
      </c>
      <c r="I198" s="24"/>
    </row>
    <row r="199" spans="1:9" s="2" customFormat="1" ht="12.75">
      <c r="A199" s="27"/>
      <c r="B199" s="24" t="s">
        <v>244</v>
      </c>
      <c r="C199" s="24"/>
      <c r="D199" s="24"/>
      <c r="E199" s="24"/>
      <c r="F199" s="24"/>
      <c r="G199" s="3"/>
      <c r="H199" s="11">
        <f>4250000+282413+13824884</f>
        <v>18357297</v>
      </c>
      <c r="I199" s="24"/>
    </row>
    <row r="200" spans="1:9" s="2" customFormat="1" ht="13.5" thickBot="1">
      <c r="A200" s="27"/>
      <c r="B200" s="122"/>
      <c r="C200" s="24"/>
      <c r="D200" s="24"/>
      <c r="E200" s="24"/>
      <c r="F200" s="24"/>
      <c r="G200" s="3"/>
      <c r="H200" s="123">
        <f>SUM(H198:H199)</f>
        <v>18556676</v>
      </c>
      <c r="I200" s="24"/>
    </row>
    <row r="201" spans="1:9" s="2" customFormat="1" ht="12.75">
      <c r="A201" s="27"/>
      <c r="B201" s="72"/>
      <c r="C201" s="24"/>
      <c r="D201" s="24"/>
      <c r="E201" s="24"/>
      <c r="F201" s="24"/>
      <c r="G201" s="3"/>
      <c r="H201" s="3"/>
      <c r="I201" s="24"/>
    </row>
    <row r="202" spans="1:9" s="2" customFormat="1" ht="12.75">
      <c r="A202" s="45" t="s">
        <v>131</v>
      </c>
      <c r="B202" s="23" t="s">
        <v>55</v>
      </c>
      <c r="C202" s="64"/>
      <c r="D202" s="64"/>
      <c r="E202" s="64"/>
      <c r="F202" s="64"/>
      <c r="I202" s="24"/>
    </row>
    <row r="203" spans="1:9" s="2" customFormat="1" ht="12.75">
      <c r="A203" s="45"/>
      <c r="B203" s="23"/>
      <c r="C203" s="24"/>
      <c r="D203" s="24"/>
      <c r="E203" s="24"/>
      <c r="F203" s="24"/>
      <c r="I203" s="24"/>
    </row>
    <row r="204" spans="1:9" s="38" customFormat="1" ht="12.75">
      <c r="A204" s="36"/>
      <c r="B204" s="28" t="s">
        <v>260</v>
      </c>
      <c r="C204" s="28"/>
      <c r="D204" s="28"/>
      <c r="E204" s="28"/>
      <c r="F204" s="28"/>
      <c r="I204" s="28"/>
    </row>
    <row r="205" spans="1:9" s="38" customFormat="1" ht="12.75">
      <c r="A205" s="36"/>
      <c r="B205" s="28"/>
      <c r="C205" s="28"/>
      <c r="D205" s="28"/>
      <c r="E205" s="28"/>
      <c r="F205" s="28"/>
      <c r="I205" s="28"/>
    </row>
    <row r="206" spans="1:9" s="38" customFormat="1" ht="12.75">
      <c r="A206" s="36"/>
      <c r="B206" s="39"/>
      <c r="C206" s="28"/>
      <c r="D206" s="28"/>
      <c r="E206" s="28"/>
      <c r="F206" s="28"/>
      <c r="G206" s="93" t="s">
        <v>57</v>
      </c>
      <c r="H206" s="93" t="s">
        <v>259</v>
      </c>
      <c r="I206" s="28"/>
    </row>
    <row r="207" spans="1:9" s="38" customFormat="1" ht="12.75">
      <c r="A207" s="36"/>
      <c r="B207" s="39"/>
      <c r="C207" s="28"/>
      <c r="D207" s="28"/>
      <c r="E207" s="28"/>
      <c r="F207" s="28"/>
      <c r="G207" s="93" t="s">
        <v>250</v>
      </c>
      <c r="H207" s="93" t="s">
        <v>250</v>
      </c>
      <c r="I207" s="28"/>
    </row>
    <row r="208" spans="1:9" s="38" customFormat="1" ht="12.75">
      <c r="A208" s="36"/>
      <c r="B208" s="39"/>
      <c r="C208" s="28"/>
      <c r="D208" s="28"/>
      <c r="E208" s="28"/>
      <c r="F208" s="28"/>
      <c r="G208" s="93" t="s">
        <v>28</v>
      </c>
      <c r="H208" s="93" t="s">
        <v>28</v>
      </c>
      <c r="I208" s="28"/>
    </row>
    <row r="209" spans="1:9" s="38" customFormat="1" ht="12.75">
      <c r="A209" s="36"/>
      <c r="B209" s="39"/>
      <c r="C209" s="28"/>
      <c r="D209" s="28"/>
      <c r="E209" s="28"/>
      <c r="F209" s="28"/>
      <c r="G209" s="28"/>
      <c r="I209" s="28"/>
    </row>
    <row r="210" spans="1:9" s="38" customFormat="1" ht="12.75">
      <c r="A210" s="36"/>
      <c r="B210" s="38" t="s">
        <v>108</v>
      </c>
      <c r="C210" s="28"/>
      <c r="D210" s="28"/>
      <c r="E210" s="28"/>
      <c r="F210" s="28"/>
      <c r="G210" s="117"/>
      <c r="I210" s="57"/>
    </row>
    <row r="211" spans="1:9" s="38" customFormat="1" ht="12.75">
      <c r="A211" s="36"/>
      <c r="B211" s="38" t="s">
        <v>109</v>
      </c>
      <c r="C211" s="28"/>
      <c r="D211" s="28"/>
      <c r="E211" s="28"/>
      <c r="F211" s="28"/>
      <c r="G211" s="117">
        <v>15000</v>
      </c>
      <c r="H211" s="40">
        <v>30000</v>
      </c>
      <c r="I211" s="57"/>
    </row>
    <row r="212" spans="1:9" s="38" customFormat="1" ht="12.75">
      <c r="A212" s="36"/>
      <c r="C212" s="28"/>
      <c r="D212" s="28"/>
      <c r="E212" s="28"/>
      <c r="F212" s="28"/>
      <c r="G212" s="117"/>
      <c r="H212" s="40"/>
      <c r="I212" s="57"/>
    </row>
    <row r="213" spans="1:9" s="38" customFormat="1" ht="12.75">
      <c r="A213" s="36"/>
      <c r="B213" s="28" t="s">
        <v>103</v>
      </c>
      <c r="C213" s="28"/>
      <c r="D213" s="28"/>
      <c r="E213" s="28"/>
      <c r="F213" s="28"/>
      <c r="G213" s="118">
        <v>3000</v>
      </c>
      <c r="H213" s="41">
        <v>6000</v>
      </c>
      <c r="I213" s="57"/>
    </row>
    <row r="214" spans="1:9" s="38" customFormat="1" ht="12.75">
      <c r="A214" s="36"/>
      <c r="B214" s="28"/>
      <c r="C214" s="28"/>
      <c r="D214" s="28"/>
      <c r="E214" s="28"/>
      <c r="F214" s="28"/>
      <c r="G214" s="118"/>
      <c r="H214" s="41"/>
      <c r="I214" s="57"/>
    </row>
    <row r="215" spans="2:9" ht="12.75">
      <c r="B215" s="39" t="s">
        <v>207</v>
      </c>
      <c r="G215" s="110"/>
      <c r="I215" s="57"/>
    </row>
    <row r="216" spans="2:9" ht="12.75">
      <c r="B216" s="28" t="s">
        <v>206</v>
      </c>
      <c r="G216" s="117">
        <f>H216-80523.84</f>
        <v>199156.16</v>
      </c>
      <c r="H216" s="40">
        <v>279680</v>
      </c>
      <c r="I216" s="57"/>
    </row>
    <row r="217" spans="2:9" ht="12.75">
      <c r="B217" s="28"/>
      <c r="G217" s="117"/>
      <c r="H217" s="40"/>
      <c r="I217" s="57"/>
    </row>
    <row r="218" spans="2:9" ht="12.75">
      <c r="B218" s="38" t="s">
        <v>204</v>
      </c>
      <c r="G218" s="117">
        <v>6000</v>
      </c>
      <c r="H218" s="40">
        <v>12000</v>
      </c>
      <c r="I218" s="57"/>
    </row>
    <row r="219" spans="2:9" ht="12.75">
      <c r="B219" s="28"/>
      <c r="G219" s="117"/>
      <c r="H219" s="40"/>
      <c r="I219" s="57"/>
    </row>
    <row r="220" spans="1:9" s="38" customFormat="1" ht="12.75">
      <c r="A220" s="36"/>
      <c r="B220" s="28" t="s">
        <v>205</v>
      </c>
      <c r="C220" s="28"/>
      <c r="D220" s="28"/>
      <c r="E220" s="28"/>
      <c r="F220" s="28"/>
      <c r="G220" s="11">
        <v>3000</v>
      </c>
      <c r="H220" s="3">
        <v>6000</v>
      </c>
      <c r="I220" s="57"/>
    </row>
    <row r="221" spans="2:9" ht="12.75">
      <c r="B221" s="39"/>
      <c r="G221" s="39"/>
      <c r="H221" s="16"/>
      <c r="I221" s="57"/>
    </row>
    <row r="222" spans="2:9" ht="12.75">
      <c r="B222" s="39" t="s">
        <v>119</v>
      </c>
      <c r="G222" s="110"/>
      <c r="I222" s="57"/>
    </row>
    <row r="223" spans="2:8" ht="12.75">
      <c r="B223" s="39" t="s">
        <v>123</v>
      </c>
      <c r="G223" s="117">
        <f>H223-10218954.21</f>
        <v>0</v>
      </c>
      <c r="H223" s="40">
        <v>10218954.21</v>
      </c>
    </row>
    <row r="224" spans="2:8" ht="12.75">
      <c r="B224" s="39"/>
      <c r="G224" s="117"/>
      <c r="H224" s="40"/>
    </row>
    <row r="225" spans="2:8" ht="12.75">
      <c r="B225" s="39"/>
      <c r="C225" s="76"/>
      <c r="D225" s="76"/>
      <c r="E225" s="76"/>
      <c r="F225" s="76"/>
      <c r="G225" s="112"/>
      <c r="H225" s="112"/>
    </row>
    <row r="226" spans="2:8" ht="13.5" thickBot="1">
      <c r="B226" s="39" t="s">
        <v>231</v>
      </c>
      <c r="C226" s="76"/>
      <c r="D226" s="76"/>
      <c r="E226" s="76"/>
      <c r="F226" s="76"/>
      <c r="G226" s="94">
        <f>H226-76804</f>
        <v>9477</v>
      </c>
      <c r="H226" s="94">
        <v>86281</v>
      </c>
    </row>
    <row r="227" spans="2:8" ht="12.75">
      <c r="B227" s="39"/>
      <c r="C227" s="76"/>
      <c r="D227" s="76"/>
      <c r="E227" s="76"/>
      <c r="F227" s="76"/>
      <c r="G227" s="77"/>
      <c r="H227" s="77"/>
    </row>
    <row r="228" spans="1:9" s="2" customFormat="1" ht="12.75">
      <c r="A228" s="27"/>
      <c r="B228" s="24"/>
      <c r="C228" s="24"/>
      <c r="D228" s="24"/>
      <c r="E228" s="24"/>
      <c r="F228" s="24"/>
      <c r="I228" s="24"/>
    </row>
    <row r="229" spans="1:9" s="2" customFormat="1" ht="12.75">
      <c r="A229" s="27"/>
      <c r="B229" s="28"/>
      <c r="C229" s="24"/>
      <c r="D229" s="24"/>
      <c r="E229" s="24"/>
      <c r="F229" s="24"/>
      <c r="I229" s="24"/>
    </row>
    <row r="230" spans="1:9" s="2" customFormat="1" ht="12.75">
      <c r="A230" s="27"/>
      <c r="B230" s="28"/>
      <c r="C230" s="24"/>
      <c r="D230" s="24"/>
      <c r="E230" s="24"/>
      <c r="F230" s="24"/>
      <c r="I230" s="24"/>
    </row>
    <row r="231" spans="1:9" s="2" customFormat="1" ht="12.75">
      <c r="A231" s="27"/>
      <c r="B231" s="28"/>
      <c r="C231" s="24"/>
      <c r="D231" s="24"/>
      <c r="E231" s="24"/>
      <c r="F231" s="24"/>
      <c r="I231" s="24"/>
    </row>
    <row r="232" spans="1:9" s="2" customFormat="1" ht="12.75">
      <c r="A232" s="27"/>
      <c r="B232" s="28"/>
      <c r="C232" s="24"/>
      <c r="D232" s="24"/>
      <c r="E232" s="24"/>
      <c r="F232" s="24"/>
      <c r="I232" s="24"/>
    </row>
    <row r="233" spans="1:9" s="2" customFormat="1" ht="12.75">
      <c r="A233" s="27"/>
      <c r="B233" s="28"/>
      <c r="C233" s="24"/>
      <c r="D233" s="24"/>
      <c r="E233" s="24"/>
      <c r="F233" s="24"/>
      <c r="I233" s="24"/>
    </row>
    <row r="234" spans="1:9" s="2" customFormat="1" ht="12.75">
      <c r="A234" s="27"/>
      <c r="B234" s="28"/>
      <c r="C234" s="24"/>
      <c r="D234" s="24"/>
      <c r="E234" s="24"/>
      <c r="F234" s="24"/>
      <c r="I234" s="24"/>
    </row>
    <row r="235" spans="1:9" s="2" customFormat="1" ht="12.75">
      <c r="A235" s="27"/>
      <c r="B235" s="28"/>
      <c r="C235" s="24"/>
      <c r="D235" s="24"/>
      <c r="E235" s="24"/>
      <c r="F235" s="24"/>
      <c r="I235" s="24"/>
    </row>
    <row r="236" spans="1:9" s="2" customFormat="1" ht="12.75">
      <c r="A236" s="27"/>
      <c r="B236" s="28"/>
      <c r="C236" s="24"/>
      <c r="D236" s="24"/>
      <c r="E236" s="24"/>
      <c r="F236" s="24"/>
      <c r="I236" s="24"/>
    </row>
  </sheetData>
  <mergeCells count="2">
    <mergeCell ref="G91:H91"/>
    <mergeCell ref="D91:E91"/>
  </mergeCells>
  <printOptions horizontalCentered="1"/>
  <pageMargins left="0.5905511811023623" right="0.3937007874015748" top="1.1811023622047245" bottom="0.3937007874015748" header="0.5118110236220472" footer="0.5118110236220472"/>
  <pageSetup horizontalDpi="600" verticalDpi="600" orientation="portrait" paperSize="9" scale="92" r:id="rId4"/>
  <rowBreaks count="3" manualBreakCount="3">
    <brk id="50" max="7" man="1"/>
    <brk id="108" max="7" man="1"/>
    <brk id="168" max="7" man="1"/>
  </rowBreaks>
  <drawing r:id="rId3"/>
  <legacyDrawing r:id="rId2"/>
</worksheet>
</file>

<file path=xl/worksheets/sheet8.xml><?xml version="1.0" encoding="utf-8"?>
<worksheet xmlns="http://schemas.openxmlformats.org/spreadsheetml/2006/main" xmlns:r="http://schemas.openxmlformats.org/officeDocument/2006/relationships">
  <dimension ref="A1:AT784"/>
  <sheetViews>
    <sheetView view="pageBreakPreview" zoomScaleSheetLayoutView="100" workbookViewId="0" topLeftCell="A1">
      <selection activeCell="F375" sqref="F375"/>
    </sheetView>
  </sheetViews>
  <sheetFormatPr defaultColWidth="9.140625" defaultRowHeight="12.75"/>
  <cols>
    <col min="1" max="1" width="3.28125" style="18" customWidth="1"/>
    <col min="2" max="2" width="3.7109375" style="16" customWidth="1"/>
    <col min="3" max="3" width="21.8515625" style="16" customWidth="1"/>
    <col min="4" max="4" width="11.140625" style="16" bestFit="1" customWidth="1"/>
    <col min="5" max="5" width="11.140625" style="17" bestFit="1" customWidth="1"/>
    <col min="6" max="6" width="13.28125" style="17" customWidth="1"/>
    <col min="7" max="7" width="15.28125" style="17" customWidth="1"/>
    <col min="8" max="8" width="1.8515625" style="17" customWidth="1"/>
    <col min="9" max="9" width="15.7109375" style="17" customWidth="1"/>
    <col min="10" max="16384" width="8.8515625" style="17" customWidth="1"/>
  </cols>
  <sheetData>
    <row r="1" spans="1:4" s="2" customFormat="1" ht="12.75">
      <c r="A1" s="18" t="s">
        <v>0</v>
      </c>
      <c r="D1" s="3"/>
    </row>
    <row r="2" spans="1:4" s="2" customFormat="1" ht="12.75">
      <c r="A2" s="16" t="s">
        <v>1</v>
      </c>
      <c r="D2" s="3"/>
    </row>
    <row r="3" spans="1:4" ht="12.75">
      <c r="A3" s="98"/>
      <c r="B3" s="20"/>
      <c r="C3" s="20"/>
      <c r="D3" s="20"/>
    </row>
    <row r="4" spans="2:3" ht="12.75">
      <c r="B4" s="18"/>
      <c r="C4" s="18"/>
    </row>
    <row r="5" spans="2:3" ht="12.75">
      <c r="B5" s="22"/>
      <c r="C5" s="22"/>
    </row>
    <row r="6" spans="2:3" ht="12.75">
      <c r="B6" s="22"/>
      <c r="C6" s="22"/>
    </row>
    <row r="7" spans="1:34" s="2" customFormat="1" ht="12.75">
      <c r="A7" s="99" t="s">
        <v>79</v>
      </c>
      <c r="B7" s="36" t="s">
        <v>42</v>
      </c>
      <c r="C7" s="190"/>
      <c r="D7" s="35"/>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s="2" customFormat="1" ht="12.75">
      <c r="A8" s="100"/>
      <c r="B8" s="27"/>
      <c r="C8" s="27"/>
      <c r="D8" s="35"/>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2:3" ht="12.75">
      <c r="B9" s="22"/>
      <c r="C9" s="22"/>
    </row>
    <row r="10" spans="2:11" ht="12.75">
      <c r="B10" s="22"/>
      <c r="C10" s="22"/>
      <c r="K10" s="79"/>
    </row>
    <row r="11" spans="2:3" ht="12.75">
      <c r="B11" s="22"/>
      <c r="C11" s="22"/>
    </row>
    <row r="12" spans="2:3" ht="12.75">
      <c r="B12" s="22"/>
      <c r="C12" s="22"/>
    </row>
    <row r="13" spans="2:3" ht="12.75">
      <c r="B13" s="22"/>
      <c r="C13" s="22"/>
    </row>
    <row r="14" spans="2:3" ht="12.75">
      <c r="B14" s="22"/>
      <c r="C14" s="22"/>
    </row>
    <row r="15" spans="2:3" ht="12.75">
      <c r="B15" s="22"/>
      <c r="C15" s="22"/>
    </row>
    <row r="16" spans="2:3" ht="12.75">
      <c r="B16" s="22"/>
      <c r="C16" s="22"/>
    </row>
    <row r="17" spans="2:3" ht="12.75">
      <c r="B17" s="22"/>
      <c r="C17" s="22"/>
    </row>
    <row r="18" spans="2:3" ht="12.75">
      <c r="B18" s="22"/>
      <c r="C18" s="22"/>
    </row>
    <row r="19" spans="1:46" s="2" customFormat="1" ht="13.5" customHeight="1">
      <c r="A19" s="99" t="s">
        <v>80</v>
      </c>
      <c r="B19" s="27"/>
      <c r="C19" s="27"/>
      <c r="D19" s="29"/>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row>
    <row r="20" spans="1:46" s="2" customFormat="1" ht="13.5" customHeight="1">
      <c r="A20" s="100"/>
      <c r="B20" s="29"/>
      <c r="C20" s="29"/>
      <c r="D20" s="29"/>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row>
    <row r="21" spans="1:46" s="2" customFormat="1" ht="13.5" customHeight="1">
      <c r="A21" s="100"/>
      <c r="B21" s="29"/>
      <c r="C21" s="29"/>
      <c r="D21" s="29"/>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row>
    <row r="22" spans="1:46" s="2" customFormat="1" ht="12.75">
      <c r="A22" s="100"/>
      <c r="B22" s="29"/>
      <c r="C22" s="29"/>
      <c r="D22" s="29"/>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row>
    <row r="23" spans="1:46" s="2" customFormat="1" ht="12.75">
      <c r="A23" s="100"/>
      <c r="B23" s="29"/>
      <c r="C23" s="29"/>
      <c r="D23" s="29"/>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row>
    <row r="24" spans="1:46" s="2" customFormat="1" ht="13.5" customHeight="1">
      <c r="A24" s="100"/>
      <c r="B24" s="29"/>
      <c r="C24" s="29"/>
      <c r="D24" s="29"/>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row>
    <row r="25" spans="1:46" s="2" customFormat="1" ht="13.5" customHeight="1">
      <c r="A25" s="100"/>
      <c r="B25" s="29"/>
      <c r="C25" s="29"/>
      <c r="D25" s="29"/>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row>
    <row r="26" spans="1:46" s="2" customFormat="1" ht="12.75">
      <c r="A26" s="99" t="s">
        <v>81</v>
      </c>
      <c r="B26" s="27" t="s">
        <v>38</v>
      </c>
      <c r="C26" s="115"/>
      <c r="D26" s="2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row>
    <row r="27" spans="1:46" s="2" customFormat="1" ht="12.75">
      <c r="A27" s="99"/>
      <c r="B27" s="27"/>
      <c r="C27" s="27"/>
      <c r="D27" s="29"/>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row>
    <row r="28" ht="13.5" customHeight="1"/>
    <row r="29" ht="13.5" customHeight="1">
      <c r="J29" s="79"/>
    </row>
    <row r="30" ht="13.5" customHeight="1">
      <c r="J30" s="79"/>
    </row>
    <row r="31" ht="13.5" customHeight="1">
      <c r="J31" s="79" t="s">
        <v>175</v>
      </c>
    </row>
    <row r="32" ht="13.5" customHeight="1"/>
    <row r="33" ht="13.5" customHeight="1"/>
    <row r="34" spans="1:46" s="2" customFormat="1" ht="12.75">
      <c r="A34" s="99" t="s">
        <v>82</v>
      </c>
      <c r="B34" s="27" t="s">
        <v>43</v>
      </c>
      <c r="C34" s="27"/>
      <c r="D34" s="29"/>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row>
    <row r="35" spans="1:46" s="2" customFormat="1" ht="12.75">
      <c r="A35" s="99"/>
      <c r="B35" s="27"/>
      <c r="C35" s="27"/>
      <c r="D35" s="29"/>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row>
    <row r="36" spans="1:46" s="2" customFormat="1" ht="12.75">
      <c r="A36" s="100"/>
      <c r="B36" s="29"/>
      <c r="C36" s="29"/>
      <c r="D36" s="29"/>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row>
    <row r="37" spans="1:46" s="2" customFormat="1" ht="12.75">
      <c r="A37" s="100"/>
      <c r="B37" s="29"/>
      <c r="C37" s="29"/>
      <c r="D37" s="29"/>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row>
    <row r="38" spans="1:46" s="2" customFormat="1" ht="12.75">
      <c r="A38" s="99" t="s">
        <v>83</v>
      </c>
      <c r="B38" s="27" t="s">
        <v>8</v>
      </c>
      <c r="C38" s="27"/>
      <c r="D38" s="29"/>
      <c r="E38" s="25"/>
      <c r="F38" s="25"/>
      <c r="G38" s="25"/>
      <c r="H38" s="25"/>
      <c r="I38" s="29"/>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row>
    <row r="39" spans="1:46" s="2" customFormat="1" ht="12.75">
      <c r="A39" s="100"/>
      <c r="B39" s="27"/>
      <c r="C39" s="27"/>
      <c r="D39" s="29"/>
      <c r="E39" s="29"/>
      <c r="F39" s="29"/>
      <c r="G39" s="120" t="s">
        <v>57</v>
      </c>
      <c r="H39" s="55"/>
      <c r="I39" s="120" t="s">
        <v>259</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row>
    <row r="40" spans="1:46" s="24" customFormat="1" ht="12.75">
      <c r="A40" s="100"/>
      <c r="B40" s="29"/>
      <c r="C40" s="29"/>
      <c r="D40" s="29"/>
      <c r="E40" s="32"/>
      <c r="F40" s="32"/>
      <c r="G40" s="93" t="s">
        <v>250</v>
      </c>
      <c r="H40" s="93"/>
      <c r="I40" s="93" t="s">
        <v>250</v>
      </c>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1:46" s="24" customFormat="1" ht="12.75">
      <c r="A41" s="100"/>
      <c r="B41" s="29"/>
      <c r="C41" s="29"/>
      <c r="D41" s="29"/>
      <c r="E41" s="35"/>
      <c r="F41" s="35"/>
      <c r="G41" s="55" t="s">
        <v>28</v>
      </c>
      <c r="H41" s="55"/>
      <c r="I41" s="55" t="s">
        <v>28</v>
      </c>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1:46" s="24" customFormat="1" ht="12.75">
      <c r="A42" s="100"/>
      <c r="B42" s="29" t="s">
        <v>139</v>
      </c>
      <c r="C42" s="29"/>
      <c r="D42" s="29"/>
      <c r="E42" s="35"/>
      <c r="F42" s="35"/>
      <c r="G42" s="35"/>
      <c r="H42" s="35"/>
      <c r="I42" s="35"/>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1:46" s="24" customFormat="1" ht="12.75">
      <c r="A43" s="100"/>
      <c r="B43" s="29"/>
      <c r="C43" s="29" t="s">
        <v>140</v>
      </c>
      <c r="D43" s="29"/>
      <c r="E43" s="35"/>
      <c r="F43" s="35"/>
      <c r="G43" s="31">
        <f>I43-881000</f>
        <v>133500</v>
      </c>
      <c r="H43" s="34"/>
      <c r="I43" s="31">
        <f>1014500</f>
        <v>1014500</v>
      </c>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1:46" s="2" customFormat="1" ht="12.75">
      <c r="A44" s="100"/>
      <c r="B44" s="29"/>
      <c r="C44" s="29" t="s">
        <v>333</v>
      </c>
      <c r="D44" s="29"/>
      <c r="E44" s="35"/>
      <c r="F44" s="35"/>
      <c r="G44" s="31">
        <f>I44-0</f>
        <v>40700</v>
      </c>
      <c r="H44" s="34"/>
      <c r="I44" s="31">
        <v>40700</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row>
    <row r="45" spans="1:46" s="2" customFormat="1" ht="12.75">
      <c r="A45" s="100"/>
      <c r="C45" s="29" t="s">
        <v>118</v>
      </c>
      <c r="D45" s="29"/>
      <c r="E45" s="34"/>
      <c r="F45" s="34"/>
      <c r="G45" s="54">
        <f>I45-33000</f>
        <v>-110000</v>
      </c>
      <c r="H45" s="34"/>
      <c r="I45" s="54">
        <v>-77000</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row>
    <row r="46" spans="1:46" s="2" customFormat="1" ht="13.5" thickBot="1">
      <c r="A46" s="100"/>
      <c r="B46" s="29"/>
      <c r="C46" s="29"/>
      <c r="D46" s="29"/>
      <c r="E46" s="34"/>
      <c r="F46" s="34"/>
      <c r="G46" s="101">
        <f>SUM(G43:G45)</f>
        <v>64200</v>
      </c>
      <c r="H46" s="34"/>
      <c r="I46" s="101">
        <f>SUM(I43:I45)</f>
        <v>978200</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row>
    <row r="47" spans="1:46" s="2" customFormat="1" ht="12.75">
      <c r="A47" s="100"/>
      <c r="B47" s="33"/>
      <c r="C47" s="33"/>
      <c r="D47" s="29"/>
      <c r="E47" s="31"/>
      <c r="F47" s="31"/>
      <c r="G47" s="34"/>
      <c r="H47" s="34"/>
      <c r="I47" s="34"/>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row>
    <row r="48" spans="1:46" s="2" customFormat="1" ht="12.75">
      <c r="A48" s="100"/>
      <c r="B48" s="33"/>
      <c r="C48" s="33"/>
      <c r="D48" s="29"/>
      <c r="E48" s="31"/>
      <c r="F48" s="31"/>
      <c r="G48" s="31"/>
      <c r="H48" s="31"/>
      <c r="I48" s="34"/>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row>
    <row r="49" spans="1:46" s="2" customFormat="1" ht="12.75">
      <c r="A49" s="100"/>
      <c r="B49" s="33"/>
      <c r="C49" s="33"/>
      <c r="D49" s="29"/>
      <c r="E49" s="31"/>
      <c r="F49" s="31"/>
      <c r="G49" s="31"/>
      <c r="H49" s="31"/>
      <c r="I49" s="34"/>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row>
    <row r="50" spans="1:46" s="2" customFormat="1" ht="12.75">
      <c r="A50" s="100"/>
      <c r="B50" s="33"/>
      <c r="C50" s="33"/>
      <c r="D50" s="29"/>
      <c r="E50" s="31"/>
      <c r="F50" s="31"/>
      <c r="G50" s="31"/>
      <c r="H50" s="31"/>
      <c r="I50" s="34"/>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row>
    <row r="51" spans="1:46" s="2" customFormat="1" ht="12.75">
      <c r="A51" s="99" t="s">
        <v>84</v>
      </c>
      <c r="B51" s="27" t="s">
        <v>93</v>
      </c>
      <c r="C51" s="27"/>
      <c r="D51" s="29"/>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row>
    <row r="52" spans="1:46" s="2" customFormat="1" ht="12.75">
      <c r="A52" s="99"/>
      <c r="B52" s="27"/>
      <c r="C52" s="27"/>
      <c r="D52" s="29"/>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row>
    <row r="53" spans="1:46" s="2" customFormat="1" ht="12.75">
      <c r="A53" s="100"/>
      <c r="B53" s="29"/>
      <c r="C53" s="29"/>
      <c r="D53" s="29"/>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row>
    <row r="54" spans="1:46" s="2" customFormat="1" ht="12.75">
      <c r="A54" s="100"/>
      <c r="B54" s="29"/>
      <c r="C54" s="29"/>
      <c r="D54" s="29"/>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row>
    <row r="55" spans="1:46" s="2" customFormat="1" ht="12.75">
      <c r="A55" s="99" t="s">
        <v>85</v>
      </c>
      <c r="B55" s="27" t="s">
        <v>92</v>
      </c>
      <c r="C55" s="27"/>
      <c r="D55" s="29"/>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row>
    <row r="56" spans="1:46" s="2" customFormat="1" ht="12.75">
      <c r="A56" s="99"/>
      <c r="B56" s="27"/>
      <c r="C56" s="27"/>
      <c r="D56" s="29"/>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row>
    <row r="57" spans="1:46" s="2" customFormat="1" ht="12.75">
      <c r="A57" s="100"/>
      <c r="B57" s="29" t="s">
        <v>311</v>
      </c>
      <c r="C57" s="29"/>
      <c r="D57" s="29"/>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row>
    <row r="58" spans="1:46" s="2" customFormat="1" ht="12.75">
      <c r="A58" s="100"/>
      <c r="B58" s="29"/>
      <c r="C58" s="29"/>
      <c r="D58" s="29"/>
      <c r="E58" s="25"/>
      <c r="F58" s="25"/>
      <c r="G58" s="29"/>
      <c r="H58" s="29"/>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row>
    <row r="59" spans="1:46" s="2" customFormat="1" ht="12.75">
      <c r="A59" s="100"/>
      <c r="B59" s="29"/>
      <c r="C59" s="29"/>
      <c r="D59" s="29"/>
      <c r="E59" s="25"/>
      <c r="F59" s="25"/>
      <c r="G59" s="55"/>
      <c r="H59" s="55"/>
      <c r="I59" s="43" t="s">
        <v>62</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row>
    <row r="60" spans="1:46" s="2" customFormat="1" ht="12.75">
      <c r="A60" s="100"/>
      <c r="B60" s="29"/>
      <c r="C60" s="29"/>
      <c r="D60" s="29"/>
      <c r="E60" s="25"/>
      <c r="F60" s="25"/>
      <c r="G60" s="93"/>
      <c r="H60" s="93"/>
      <c r="I60" s="93" t="s">
        <v>250</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row>
    <row r="61" spans="1:46" s="2" customFormat="1" ht="12.75">
      <c r="A61" s="100"/>
      <c r="B61" s="29"/>
      <c r="C61" s="29"/>
      <c r="D61" s="29"/>
      <c r="E61" s="25"/>
      <c r="F61" s="25"/>
      <c r="G61" s="55"/>
      <c r="H61" s="55"/>
      <c r="I61" s="43" t="s">
        <v>28</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46" s="2" customFormat="1" ht="12.75">
      <c r="A62" s="100"/>
      <c r="B62" s="29"/>
      <c r="C62" s="29"/>
      <c r="D62" s="29"/>
      <c r="E62" s="25"/>
      <c r="F62" s="25"/>
      <c r="G62" s="55"/>
      <c r="H62" s="55"/>
      <c r="I62" s="43"/>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row>
    <row r="63" spans="1:46" s="2" customFormat="1" ht="12.75">
      <c r="A63" s="100"/>
      <c r="B63" s="29" t="s">
        <v>135</v>
      </c>
      <c r="C63" s="29"/>
      <c r="D63" s="29"/>
      <c r="E63" s="25"/>
      <c r="F63" s="25"/>
      <c r="G63" s="34"/>
      <c r="H63" s="34"/>
      <c r="I63" s="31">
        <v>1189166.04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row>
    <row r="64" spans="1:46" s="2" customFormat="1" ht="12.75">
      <c r="A64" s="100"/>
      <c r="B64" s="29" t="s">
        <v>136</v>
      </c>
      <c r="C64" s="29"/>
      <c r="D64" s="29"/>
      <c r="E64" s="25"/>
      <c r="F64" s="25"/>
      <c r="G64" s="34"/>
      <c r="H64" s="34"/>
      <c r="I64" s="31">
        <v>728403</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row>
    <row r="65" spans="1:46" s="2" customFormat="1" ht="13.5" thickBot="1">
      <c r="A65" s="100"/>
      <c r="B65" s="29" t="s">
        <v>137</v>
      </c>
      <c r="C65" s="29"/>
      <c r="D65" s="29"/>
      <c r="E65" s="25"/>
      <c r="F65" s="25"/>
      <c r="G65" s="34"/>
      <c r="H65" s="34"/>
      <c r="I65" s="74">
        <v>728403</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row>
    <row r="66" spans="1:46" s="2" customFormat="1" ht="12.75">
      <c r="A66" s="100"/>
      <c r="B66" s="29"/>
      <c r="C66" s="29"/>
      <c r="D66" s="29"/>
      <c r="E66" s="25"/>
      <c r="F66" s="25"/>
      <c r="G66" s="34"/>
      <c r="H66" s="34"/>
      <c r="I66" s="34"/>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row>
    <row r="67" spans="1:46" s="2" customFormat="1" ht="12.75">
      <c r="A67" s="99" t="s">
        <v>86</v>
      </c>
      <c r="B67" s="27" t="s">
        <v>110</v>
      </c>
      <c r="C67" s="115"/>
      <c r="D67" s="29"/>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row>
    <row r="68" spans="1:46" s="2" customFormat="1" ht="12.75">
      <c r="A68" s="99"/>
      <c r="B68" s="27"/>
      <c r="C68" s="27"/>
      <c r="D68" s="29"/>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row>
    <row r="69" spans="1:46" s="2" customFormat="1" ht="12.75">
      <c r="A69" s="100"/>
      <c r="B69" s="27" t="s">
        <v>111</v>
      </c>
      <c r="C69" s="27"/>
      <c r="D69" s="29"/>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row>
    <row r="70" spans="1:46" s="2" customFormat="1" ht="12.75">
      <c r="A70" s="100"/>
      <c r="B70" s="27"/>
      <c r="C70" s="27"/>
      <c r="D70" s="29"/>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row>
    <row r="71" spans="1:46" s="2" customFormat="1" ht="12.75">
      <c r="A71" s="100"/>
      <c r="B71" s="27"/>
      <c r="C71" s="27"/>
      <c r="D71" s="29"/>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row>
    <row r="72" spans="1:46" s="2" customFormat="1" ht="12.75">
      <c r="A72" s="100"/>
      <c r="B72" s="27"/>
      <c r="C72" s="27"/>
      <c r="D72" s="29"/>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row>
    <row r="73" spans="1:46" s="2" customFormat="1" ht="12.75">
      <c r="A73" s="100"/>
      <c r="B73" s="27"/>
      <c r="C73" s="29"/>
      <c r="D73" s="29"/>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row>
    <row r="74" spans="1:46" s="2" customFormat="1" ht="12.75">
      <c r="A74" s="100"/>
      <c r="B74" s="29"/>
      <c r="C74" s="29"/>
      <c r="D74" s="29"/>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row>
    <row r="75" spans="1:46" s="2" customFormat="1" ht="12.75">
      <c r="A75" s="100"/>
      <c r="B75" s="29"/>
      <c r="C75" s="29"/>
      <c r="D75" s="29"/>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row>
    <row r="76" spans="1:46" s="2" customFormat="1" ht="12.75">
      <c r="A76" s="100"/>
      <c r="B76" s="29"/>
      <c r="C76" s="29"/>
      <c r="D76" s="29"/>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row>
    <row r="77" spans="1:46" s="2" customFormat="1" ht="12.75">
      <c r="A77" s="100"/>
      <c r="B77" s="29"/>
      <c r="C77" s="29"/>
      <c r="D77" s="2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row>
    <row r="78" spans="1:46" s="2" customFormat="1" ht="12.75">
      <c r="A78" s="100"/>
      <c r="B78" s="29"/>
      <c r="C78" s="29"/>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row>
    <row r="79" spans="1:46" s="2" customFormat="1" ht="12.75">
      <c r="A79" s="100"/>
      <c r="B79" s="29"/>
      <c r="C79" s="29"/>
      <c r="D79" s="29"/>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row>
    <row r="80" spans="1:46" s="2" customFormat="1" ht="12.75">
      <c r="A80" s="100"/>
      <c r="B80" s="29"/>
      <c r="C80" s="29"/>
      <c r="D80" s="29"/>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row>
    <row r="81" spans="1:46" s="2" customFormat="1" ht="12.75">
      <c r="A81" s="100"/>
      <c r="B81" s="29"/>
      <c r="C81" s="29"/>
      <c r="D81" s="29"/>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row>
    <row r="82" spans="1:46" s="2" customFormat="1" ht="12.75">
      <c r="A82" s="100"/>
      <c r="B82" s="29"/>
      <c r="C82" s="29"/>
      <c r="D82" s="29"/>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row>
    <row r="83" spans="1:46" s="2" customFormat="1" ht="12.75">
      <c r="A83" s="100"/>
      <c r="B83" s="29"/>
      <c r="C83" s="29"/>
      <c r="D83" s="29"/>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row>
    <row r="84" spans="1:46" s="2" customFormat="1" ht="12.75">
      <c r="A84" s="100"/>
      <c r="B84" s="29"/>
      <c r="C84" s="29"/>
      <c r="D84" s="29"/>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row>
    <row r="85" spans="1:46" s="2" customFormat="1" ht="12.75">
      <c r="A85" s="100"/>
      <c r="B85" s="29"/>
      <c r="C85" s="29"/>
      <c r="D85" s="29"/>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row>
    <row r="86" spans="1:46" s="2" customFormat="1" ht="12.75">
      <c r="A86" s="100"/>
      <c r="B86" s="27"/>
      <c r="C86" s="27" t="s">
        <v>211</v>
      </c>
      <c r="D86" s="29"/>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row>
    <row r="87" spans="1:46" s="2" customFormat="1" ht="12.75">
      <c r="A87" s="100"/>
      <c r="B87" s="27"/>
      <c r="C87" s="27"/>
      <c r="D87" s="29"/>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row>
    <row r="88" spans="1:46" s="2" customFormat="1" ht="12.75">
      <c r="A88" s="100"/>
      <c r="B88" s="27"/>
      <c r="C88" s="27"/>
      <c r="D88" s="29"/>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row>
    <row r="89" spans="1:46" s="2" customFormat="1" ht="12.75">
      <c r="A89" s="100"/>
      <c r="B89" s="27"/>
      <c r="C89" s="27"/>
      <c r="D89" s="29"/>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row>
    <row r="90" spans="1:46" s="2" customFormat="1" ht="12.75">
      <c r="A90" s="100"/>
      <c r="B90" s="27"/>
      <c r="C90" s="27"/>
      <c r="D90" s="29"/>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row>
    <row r="91" spans="1:46" s="2" customFormat="1" ht="12.75">
      <c r="A91" s="100"/>
      <c r="B91" s="27"/>
      <c r="C91" s="27"/>
      <c r="D91" s="29"/>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row>
    <row r="92" spans="1:46" s="2" customFormat="1" ht="12.75">
      <c r="A92" s="100"/>
      <c r="B92" s="27"/>
      <c r="C92" s="27"/>
      <c r="D92" s="29"/>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row>
    <row r="93" spans="1:46" s="2" customFormat="1" ht="12.75">
      <c r="A93" s="100"/>
      <c r="B93" s="27"/>
      <c r="C93" s="27"/>
      <c r="D93" s="29"/>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row>
    <row r="94" spans="1:46" s="2" customFormat="1" ht="12.75">
      <c r="A94" s="100"/>
      <c r="B94" s="27"/>
      <c r="C94" s="27"/>
      <c r="D94" s="29"/>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row>
    <row r="95" spans="1:46" s="2" customFormat="1" ht="12.75">
      <c r="A95" s="100"/>
      <c r="B95" s="27"/>
      <c r="C95" s="27"/>
      <c r="D95" s="29"/>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row>
    <row r="96" spans="1:46" s="2" customFormat="1" ht="12.75">
      <c r="A96" s="100"/>
      <c r="B96" s="27"/>
      <c r="C96" s="27"/>
      <c r="D96" s="29"/>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row>
    <row r="97" spans="1:46" s="2" customFormat="1" ht="12.75">
      <c r="A97" s="100"/>
      <c r="B97" s="27"/>
      <c r="C97" s="27"/>
      <c r="D97" s="29"/>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row>
    <row r="98" spans="1:46" s="2" customFormat="1" ht="12.75">
      <c r="A98" s="100"/>
      <c r="B98" s="27"/>
      <c r="C98" s="27"/>
      <c r="D98" s="29"/>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row>
    <row r="99" spans="1:46" s="2" customFormat="1" ht="12.75">
      <c r="A99" s="100"/>
      <c r="B99" s="27"/>
      <c r="C99" s="27"/>
      <c r="D99" s="29"/>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row>
    <row r="100" spans="1:46" s="2" customFormat="1" ht="12.75">
      <c r="A100" s="100"/>
      <c r="B100" s="27"/>
      <c r="C100" s="27"/>
      <c r="D100" s="29"/>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row>
    <row r="101" spans="1:46" s="2" customFormat="1" ht="12.75">
      <c r="A101" s="100"/>
      <c r="B101" s="27"/>
      <c r="C101" s="27"/>
      <c r="D101" s="29"/>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row>
    <row r="102" spans="1:46" s="2" customFormat="1" ht="12.75">
      <c r="A102" s="99" t="s">
        <v>86</v>
      </c>
      <c r="B102" s="27" t="s">
        <v>169</v>
      </c>
      <c r="C102" s="27"/>
      <c r="D102" s="29"/>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row>
    <row r="103" spans="1:46" s="2" customFormat="1" ht="12.75">
      <c r="A103" s="99"/>
      <c r="B103" s="27"/>
      <c r="C103" s="27"/>
      <c r="D103" s="29"/>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row>
    <row r="104" spans="1:46" s="2" customFormat="1" ht="12.75">
      <c r="A104" s="100"/>
      <c r="B104" s="27" t="s">
        <v>170</v>
      </c>
      <c r="C104" s="27"/>
      <c r="D104" s="29"/>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row>
    <row r="105" spans="1:46" s="2" customFormat="1" ht="12.75">
      <c r="A105" s="100"/>
      <c r="B105" s="27"/>
      <c r="C105" s="27"/>
      <c r="D105" s="29"/>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row>
    <row r="106" spans="1:46" s="2" customFormat="1" ht="12.75">
      <c r="A106" s="100"/>
      <c r="B106" s="27"/>
      <c r="C106" s="27" t="s">
        <v>212</v>
      </c>
      <c r="D106" s="2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row>
    <row r="107" spans="1:46" s="2" customFormat="1" ht="12.75">
      <c r="A107" s="100"/>
      <c r="B107" s="27"/>
      <c r="C107" s="27"/>
      <c r="D107" s="29"/>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row>
    <row r="108" spans="1:46" s="2" customFormat="1" ht="12.75">
      <c r="A108" s="100"/>
      <c r="B108" s="27"/>
      <c r="C108" s="27"/>
      <c r="D108" s="29"/>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row>
    <row r="109" spans="1:46" s="2" customFormat="1" ht="12.75">
      <c r="A109" s="100"/>
      <c r="B109" s="27"/>
      <c r="C109" s="27"/>
      <c r="D109" s="29"/>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row>
    <row r="110" spans="1:46" s="2" customFormat="1" ht="12.75">
      <c r="A110" s="100"/>
      <c r="B110" s="27"/>
      <c r="C110" s="27"/>
      <c r="D110" s="29"/>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row>
    <row r="111" spans="1:46" s="2" customFormat="1" ht="12.75">
      <c r="A111" s="100"/>
      <c r="B111" s="27"/>
      <c r="C111" s="27"/>
      <c r="D111" s="29"/>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row>
    <row r="112" spans="1:46" s="2" customFormat="1" ht="12.75">
      <c r="A112" s="100"/>
      <c r="B112" s="27"/>
      <c r="C112" s="27"/>
      <c r="D112" s="29"/>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row>
    <row r="113" spans="1:46" s="2" customFormat="1" ht="12.75">
      <c r="A113" s="100"/>
      <c r="B113" s="27"/>
      <c r="C113" s="27"/>
      <c r="D113" s="29"/>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row>
    <row r="114" spans="1:46" s="2" customFormat="1" ht="12.75">
      <c r="A114" s="100"/>
      <c r="B114" s="27"/>
      <c r="C114" s="27"/>
      <c r="D114" s="29"/>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row>
    <row r="115" spans="1:46" s="2" customFormat="1" ht="12.75">
      <c r="A115" s="100"/>
      <c r="B115" s="27"/>
      <c r="C115" s="27"/>
      <c r="D115" s="29"/>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row>
    <row r="116" spans="1:46" s="2" customFormat="1" ht="12.75">
      <c r="A116" s="100"/>
      <c r="B116" s="27"/>
      <c r="C116" s="27"/>
      <c r="D116" s="29"/>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row>
    <row r="117" spans="1:46" s="2" customFormat="1" ht="12.75">
      <c r="A117" s="100"/>
      <c r="B117" s="27"/>
      <c r="C117" s="27"/>
      <c r="D117" s="29"/>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row>
    <row r="118" spans="1:46" s="2" customFormat="1" ht="12.75">
      <c r="A118" s="100"/>
      <c r="B118" s="27"/>
      <c r="C118" s="27"/>
      <c r="D118" s="29"/>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row>
    <row r="119" spans="1:46" s="2" customFormat="1" ht="12.75">
      <c r="A119" s="100"/>
      <c r="B119" s="27"/>
      <c r="C119" s="27"/>
      <c r="D119" s="29"/>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row>
    <row r="120" spans="1:46" s="2" customFormat="1" ht="12.75">
      <c r="A120" s="100"/>
      <c r="B120" s="27"/>
      <c r="C120" s="27"/>
      <c r="D120" s="29"/>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row>
    <row r="121" spans="1:46" s="2" customFormat="1" ht="12.75">
      <c r="A121" s="100"/>
      <c r="B121" s="27"/>
      <c r="C121" s="27"/>
      <c r="D121" s="29"/>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row>
    <row r="122" spans="1:46" s="2" customFormat="1" ht="12.75">
      <c r="A122" s="100"/>
      <c r="B122" s="27"/>
      <c r="C122" s="27" t="s">
        <v>213</v>
      </c>
      <c r="D122" s="29"/>
      <c r="E122" s="25"/>
      <c r="F122" s="25"/>
      <c r="G122" s="25"/>
      <c r="H122" s="25"/>
      <c r="I122" s="25"/>
      <c r="J122" s="27"/>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row>
    <row r="123" spans="1:46" s="2" customFormat="1" ht="12.75">
      <c r="A123" s="100"/>
      <c r="B123" s="29"/>
      <c r="C123" s="27"/>
      <c r="D123" s="29"/>
      <c r="E123" s="25"/>
      <c r="F123" s="25"/>
      <c r="G123" s="25"/>
      <c r="H123" s="25"/>
      <c r="I123" s="25"/>
      <c r="J123" s="27"/>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row>
    <row r="124" spans="1:46" s="2" customFormat="1" ht="12.75">
      <c r="A124" s="100"/>
      <c r="B124" s="29"/>
      <c r="C124" s="27"/>
      <c r="D124" s="29"/>
      <c r="E124" s="25"/>
      <c r="F124" s="25"/>
      <c r="G124" s="25"/>
      <c r="H124" s="25"/>
      <c r="I124" s="25"/>
      <c r="J124" s="27"/>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row>
    <row r="125" spans="1:46" s="2" customFormat="1" ht="12.75">
      <c r="A125" s="100"/>
      <c r="B125" s="29"/>
      <c r="C125" s="27"/>
      <c r="D125" s="29"/>
      <c r="E125" s="25"/>
      <c r="F125" s="25"/>
      <c r="G125" s="25"/>
      <c r="H125" s="25"/>
      <c r="I125" s="25"/>
      <c r="J125" s="27"/>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row>
    <row r="126" spans="1:46" s="2" customFormat="1" ht="12.75">
      <c r="A126" s="100"/>
      <c r="B126" s="29"/>
      <c r="C126" s="29"/>
      <c r="D126" s="29"/>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row>
    <row r="127" spans="1:46" s="2" customFormat="1" ht="12.75">
      <c r="A127" s="100"/>
      <c r="B127" s="29"/>
      <c r="C127" s="29"/>
      <c r="D127" s="29"/>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row>
    <row r="128" spans="1:46" s="2" customFormat="1" ht="12.75">
      <c r="A128" s="100"/>
      <c r="B128" s="29"/>
      <c r="C128" s="29"/>
      <c r="D128" s="29"/>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row>
    <row r="129" spans="1:46" s="2" customFormat="1" ht="12.75">
      <c r="A129" s="100"/>
      <c r="B129" s="29"/>
      <c r="C129" s="29"/>
      <c r="D129" s="29"/>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row>
    <row r="130" spans="1:46" s="2" customFormat="1" ht="12.75">
      <c r="A130" s="100"/>
      <c r="B130" s="29"/>
      <c r="C130" s="29" t="s">
        <v>183</v>
      </c>
      <c r="D130" s="29"/>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row>
    <row r="131" spans="1:46" s="2" customFormat="1" ht="12.75">
      <c r="A131" s="100"/>
      <c r="B131" s="29"/>
      <c r="C131" s="29"/>
      <c r="D131" s="29"/>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row>
    <row r="132" spans="1:46" s="2" customFormat="1" ht="12.75">
      <c r="A132" s="100"/>
      <c r="B132" s="29"/>
      <c r="C132" s="29"/>
      <c r="D132" s="29"/>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row>
    <row r="133" spans="1:46" s="2" customFormat="1" ht="12.75">
      <c r="A133" s="100"/>
      <c r="B133" s="29"/>
      <c r="C133" s="29"/>
      <c r="D133" s="29"/>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row>
    <row r="134" spans="1:46" s="2" customFormat="1" ht="12.75">
      <c r="A134" s="100"/>
      <c r="B134" s="29"/>
      <c r="C134" s="29"/>
      <c r="D134" s="29"/>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row>
    <row r="135" spans="1:46" s="2" customFormat="1" ht="12.75">
      <c r="A135" s="100"/>
      <c r="B135" s="29"/>
      <c r="C135" s="29"/>
      <c r="D135" s="29"/>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row>
    <row r="136" spans="1:46" s="2" customFormat="1" ht="12.75">
      <c r="A136" s="100"/>
      <c r="B136" s="29"/>
      <c r="C136" s="29"/>
      <c r="D136" s="29"/>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row>
    <row r="137" spans="1:46" s="2" customFormat="1" ht="12.75">
      <c r="A137" s="100"/>
      <c r="B137" s="29"/>
      <c r="C137" s="92" t="s">
        <v>183</v>
      </c>
      <c r="D137" s="29"/>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row>
    <row r="138" spans="1:46" s="2" customFormat="1" ht="12.75">
      <c r="A138" s="100"/>
      <c r="B138" s="29"/>
      <c r="C138" s="29"/>
      <c r="D138" s="29"/>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row>
    <row r="139" spans="1:46" s="2" customFormat="1" ht="12.75">
      <c r="A139" s="100"/>
      <c r="B139" s="29"/>
      <c r="C139" s="29"/>
      <c r="D139" s="29"/>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row>
    <row r="140" spans="1:46" s="2" customFormat="1" ht="12.75">
      <c r="A140" s="100"/>
      <c r="B140" s="29"/>
      <c r="C140" s="29"/>
      <c r="D140" s="29"/>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row>
    <row r="141" spans="1:46" s="2" customFormat="1" ht="12.75">
      <c r="A141" s="100"/>
      <c r="B141" s="29"/>
      <c r="C141" s="29"/>
      <c r="D141" s="29"/>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row>
    <row r="142" spans="1:46" s="2" customFormat="1" ht="12.75">
      <c r="A142" s="100"/>
      <c r="B142" s="29"/>
      <c r="C142" s="29"/>
      <c r="D142" s="29"/>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row>
    <row r="143" spans="1:46" s="2" customFormat="1" ht="12.75">
      <c r="A143" s="100"/>
      <c r="B143" s="29"/>
      <c r="C143" s="29" t="s">
        <v>183</v>
      </c>
      <c r="D143" s="29"/>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row>
    <row r="144" spans="1:46" s="2" customFormat="1" ht="12.75">
      <c r="A144" s="100"/>
      <c r="B144" s="29"/>
      <c r="C144" s="29"/>
      <c r="D144" s="29"/>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row>
    <row r="145" spans="1:46" s="2" customFormat="1" ht="12.75">
      <c r="A145" s="100"/>
      <c r="B145" s="29"/>
      <c r="C145" s="29"/>
      <c r="D145" s="29"/>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row>
    <row r="146" spans="1:46" s="2" customFormat="1" ht="12.75">
      <c r="A146" s="100"/>
      <c r="B146" s="29"/>
      <c r="C146" s="29"/>
      <c r="D146" s="29"/>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row>
    <row r="147" spans="1:46" s="2" customFormat="1" ht="12.75">
      <c r="A147" s="100"/>
      <c r="B147" s="29"/>
      <c r="C147" s="29"/>
      <c r="D147" s="29"/>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row>
    <row r="148" spans="1:46" s="2" customFormat="1" ht="40.5" customHeight="1">
      <c r="A148" s="100"/>
      <c r="B148" s="29"/>
      <c r="C148" s="29"/>
      <c r="D148" s="29"/>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row>
    <row r="149" spans="1:46" s="2" customFormat="1" ht="12.75">
      <c r="A149" s="100"/>
      <c r="B149" s="29"/>
      <c r="C149" s="29" t="s">
        <v>183</v>
      </c>
      <c r="D149" s="29"/>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row>
    <row r="150" spans="1:46" s="2" customFormat="1" ht="12.75">
      <c r="A150" s="100"/>
      <c r="B150" s="29"/>
      <c r="C150" s="29"/>
      <c r="D150" s="29"/>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row>
    <row r="151" spans="1:46" s="2" customFormat="1" ht="12.75">
      <c r="A151" s="100"/>
      <c r="B151" s="29"/>
      <c r="C151" s="29"/>
      <c r="D151" s="29"/>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row>
    <row r="152" spans="1:46" s="2" customFormat="1" ht="12.75">
      <c r="A152" s="100"/>
      <c r="B152" s="29"/>
      <c r="C152" s="29"/>
      <c r="D152" s="29"/>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row>
    <row r="153" spans="1:46" s="2" customFormat="1" ht="12.75">
      <c r="A153" s="100"/>
      <c r="B153" s="29"/>
      <c r="C153" s="29"/>
      <c r="D153" s="29"/>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row>
    <row r="154" spans="1:46" s="2" customFormat="1" ht="12.75">
      <c r="A154" s="100"/>
      <c r="B154" s="29"/>
      <c r="C154" s="29"/>
      <c r="D154" s="29"/>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row>
    <row r="155" spans="1:46" s="2" customFormat="1" ht="12.75">
      <c r="A155" s="99" t="s">
        <v>86</v>
      </c>
      <c r="B155" s="27" t="s">
        <v>169</v>
      </c>
      <c r="C155" s="27"/>
      <c r="D155" s="29"/>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row>
    <row r="156" spans="1:46" s="2" customFormat="1" ht="12.75">
      <c r="A156" s="99"/>
      <c r="B156" s="27"/>
      <c r="C156" s="27"/>
      <c r="D156" s="29"/>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row>
    <row r="157" spans="1:46" s="2" customFormat="1" ht="12.75">
      <c r="A157" s="100"/>
      <c r="B157" s="27" t="s">
        <v>170</v>
      </c>
      <c r="C157" s="27"/>
      <c r="D157" s="29"/>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row>
    <row r="158" spans="1:46" s="2" customFormat="1" ht="12.75">
      <c r="A158" s="100"/>
      <c r="B158" s="29"/>
      <c r="C158" s="29"/>
      <c r="D158" s="29"/>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row>
    <row r="159" spans="1:46" s="2" customFormat="1" ht="12.75">
      <c r="A159" s="100"/>
      <c r="B159" s="29"/>
      <c r="C159" s="27" t="s">
        <v>213</v>
      </c>
      <c r="D159" s="29"/>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row>
    <row r="160" spans="1:46" s="2" customFormat="1" ht="12.75">
      <c r="A160" s="100"/>
      <c r="B160" s="29"/>
      <c r="C160" s="29"/>
      <c r="D160" s="29"/>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row>
    <row r="161" spans="1:46" s="2" customFormat="1" ht="12.75">
      <c r="A161" s="100"/>
      <c r="B161" s="29"/>
      <c r="C161" s="29"/>
      <c r="D161" s="29"/>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row>
    <row r="162" spans="1:46" s="2" customFormat="1" ht="12.75">
      <c r="A162" s="100"/>
      <c r="B162" s="29"/>
      <c r="C162" s="29"/>
      <c r="D162" s="29"/>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row>
    <row r="163" spans="1:46" s="2" customFormat="1" ht="12.75">
      <c r="A163" s="100"/>
      <c r="B163" s="29"/>
      <c r="C163" s="29" t="s">
        <v>183</v>
      </c>
      <c r="D163" s="29"/>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row>
    <row r="164" spans="1:46" s="2" customFormat="1" ht="12.75">
      <c r="A164" s="100"/>
      <c r="B164" s="29"/>
      <c r="C164" s="29"/>
      <c r="D164" s="29"/>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row>
    <row r="165" spans="1:46" s="2" customFormat="1" ht="12.75">
      <c r="A165" s="100"/>
      <c r="B165" s="29"/>
      <c r="C165" s="29"/>
      <c r="D165" s="29"/>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row>
    <row r="166" spans="1:46" s="2" customFormat="1" ht="12.75">
      <c r="A166" s="100"/>
      <c r="B166" s="29"/>
      <c r="C166" s="29"/>
      <c r="D166" s="29"/>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row>
    <row r="167" spans="1:46" s="2" customFormat="1" ht="12.75">
      <c r="A167" s="100"/>
      <c r="B167" s="29"/>
      <c r="C167" s="29" t="s">
        <v>183</v>
      </c>
      <c r="D167" s="29"/>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row>
    <row r="168" spans="1:46" s="2" customFormat="1" ht="12.75">
      <c r="A168" s="100"/>
      <c r="B168" s="29"/>
      <c r="C168" s="29"/>
      <c r="D168" s="29"/>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row>
    <row r="169" spans="1:46" s="2" customFormat="1" ht="12.75">
      <c r="A169" s="100"/>
      <c r="B169" s="29"/>
      <c r="C169" s="29"/>
      <c r="D169" s="29"/>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row>
    <row r="170" spans="1:46" s="2" customFormat="1" ht="12.75">
      <c r="A170" s="100"/>
      <c r="B170" s="29"/>
      <c r="C170" s="29" t="s">
        <v>183</v>
      </c>
      <c r="D170" s="29"/>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row>
    <row r="171" spans="1:46" s="2" customFormat="1" ht="12.75">
      <c r="A171" s="100"/>
      <c r="B171" s="29"/>
      <c r="C171" s="29"/>
      <c r="D171" s="29"/>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row>
    <row r="172" spans="1:46" s="2" customFormat="1" ht="12.75">
      <c r="A172" s="100"/>
      <c r="B172" s="29"/>
      <c r="C172" s="29"/>
      <c r="D172" s="29"/>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row>
    <row r="173" spans="1:46" s="2" customFormat="1" ht="12.75">
      <c r="A173" s="100"/>
      <c r="B173" s="29"/>
      <c r="C173" s="29" t="s">
        <v>183</v>
      </c>
      <c r="D173" s="29"/>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row>
    <row r="174" spans="1:46" s="2" customFormat="1" ht="12.75">
      <c r="A174" s="100"/>
      <c r="B174" s="29"/>
      <c r="C174" s="29"/>
      <c r="D174" s="29"/>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row>
    <row r="175" spans="1:46" s="2" customFormat="1" ht="12.75">
      <c r="A175" s="100"/>
      <c r="B175" s="29"/>
      <c r="C175" s="29"/>
      <c r="D175" s="29"/>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row>
    <row r="176" spans="1:46" s="2" customFormat="1" ht="12.75">
      <c r="A176" s="100"/>
      <c r="B176" s="29"/>
      <c r="C176" s="29"/>
      <c r="D176" s="29"/>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row>
    <row r="177" spans="1:46" s="2" customFormat="1" ht="12.75">
      <c r="A177" s="100"/>
      <c r="B177" s="29"/>
      <c r="C177" s="29"/>
      <c r="D177" s="29"/>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row>
    <row r="178" spans="1:46" s="2" customFormat="1" ht="12.75">
      <c r="A178" s="100"/>
      <c r="B178" s="29"/>
      <c r="C178" s="29"/>
      <c r="D178" s="29"/>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row>
    <row r="179" spans="1:46" s="2" customFormat="1" ht="12.75">
      <c r="A179" s="100"/>
      <c r="B179" s="29"/>
      <c r="C179" s="29"/>
      <c r="D179" s="29"/>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row>
    <row r="180" spans="1:46" s="2" customFormat="1" ht="12.75">
      <c r="A180" s="100"/>
      <c r="B180" s="29"/>
      <c r="C180" s="29"/>
      <c r="D180" s="29"/>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row>
    <row r="181" spans="1:46" s="2" customFormat="1" ht="12.75">
      <c r="A181" s="100"/>
      <c r="B181" s="29"/>
      <c r="C181" s="29"/>
      <c r="D181" s="29"/>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row>
    <row r="182" spans="1:46" s="2" customFormat="1" ht="12.75">
      <c r="A182" s="100"/>
      <c r="B182" s="29"/>
      <c r="C182" s="29"/>
      <c r="D182" s="29"/>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row>
    <row r="183" spans="1:46" s="2" customFormat="1" ht="12.75">
      <c r="A183" s="100"/>
      <c r="B183" s="29"/>
      <c r="C183" s="29"/>
      <c r="D183" s="29"/>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row>
    <row r="184" spans="1:46" s="2" customFormat="1" ht="12.75">
      <c r="A184" s="100"/>
      <c r="B184" s="29"/>
      <c r="C184" s="29"/>
      <c r="D184" s="29"/>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row>
    <row r="185" spans="1:46" s="2" customFormat="1" ht="12.75">
      <c r="A185" s="100"/>
      <c r="B185" s="29"/>
      <c r="C185" s="29"/>
      <c r="D185" s="29"/>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row>
    <row r="186" spans="1:46" s="2" customFormat="1" ht="12.75">
      <c r="A186" s="100"/>
      <c r="B186" s="29"/>
      <c r="C186" s="29"/>
      <c r="D186" s="29"/>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row>
    <row r="187" spans="1:46" s="2" customFormat="1" ht="12.75">
      <c r="A187" s="100"/>
      <c r="B187" s="29"/>
      <c r="C187" s="29"/>
      <c r="D187" s="29"/>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row>
    <row r="188" spans="1:46" s="2" customFormat="1" ht="12.75">
      <c r="A188" s="100"/>
      <c r="B188" s="29"/>
      <c r="C188" s="29"/>
      <c r="D188" s="29"/>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row>
    <row r="189" spans="1:46" s="2" customFormat="1" ht="12.75">
      <c r="A189" s="100"/>
      <c r="B189" s="29"/>
      <c r="C189" s="29"/>
      <c r="D189" s="29"/>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row>
    <row r="190" spans="1:46" s="2" customFormat="1" ht="12.75">
      <c r="A190" s="100"/>
      <c r="B190" s="29"/>
      <c r="C190" s="29"/>
      <c r="D190" s="29"/>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row>
    <row r="191" spans="1:46" s="2" customFormat="1" ht="12.75">
      <c r="A191" s="100"/>
      <c r="B191" s="29"/>
      <c r="C191" s="29"/>
      <c r="D191" s="29"/>
      <c r="E191" s="25"/>
      <c r="F191" s="25"/>
      <c r="G191" s="25"/>
      <c r="H191" s="25"/>
      <c r="I191" s="25"/>
      <c r="J191" s="124"/>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row>
    <row r="192" spans="1:46" s="2" customFormat="1" ht="12.75">
      <c r="A192" s="100"/>
      <c r="B192" s="29"/>
      <c r="C192" s="29"/>
      <c r="D192" s="29"/>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row>
    <row r="193" spans="1:46" s="2" customFormat="1" ht="12.75">
      <c r="A193" s="100"/>
      <c r="B193" s="29"/>
      <c r="C193" s="29"/>
      <c r="D193" s="29"/>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row>
    <row r="194" spans="1:46" s="2" customFormat="1" ht="12.75">
      <c r="A194" s="100"/>
      <c r="B194" s="29"/>
      <c r="C194" s="29"/>
      <c r="D194" s="29"/>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row>
    <row r="195" spans="1:46" s="2" customFormat="1" ht="12.75">
      <c r="A195" s="100"/>
      <c r="B195" s="29"/>
      <c r="C195" s="29"/>
      <c r="D195" s="29"/>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row>
    <row r="196" spans="1:46" s="2" customFormat="1" ht="12.75">
      <c r="A196" s="100"/>
      <c r="B196" s="29"/>
      <c r="C196" s="29"/>
      <c r="D196" s="29"/>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row>
    <row r="197" spans="1:46" s="2" customFormat="1" ht="12.75">
      <c r="A197" s="100"/>
      <c r="B197" s="29"/>
      <c r="C197" s="29"/>
      <c r="D197" s="29"/>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row>
    <row r="198" spans="1:46" s="2" customFormat="1" ht="12.75">
      <c r="A198" s="100"/>
      <c r="B198" s="29"/>
      <c r="C198" s="29"/>
      <c r="D198" s="29"/>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row>
    <row r="199" spans="1:46" s="2" customFormat="1" ht="12.75">
      <c r="A199" s="100"/>
      <c r="B199" s="29"/>
      <c r="C199" s="29"/>
      <c r="D199" s="29"/>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row>
    <row r="200" spans="1:46" s="2" customFormat="1" ht="12.75">
      <c r="A200" s="100"/>
      <c r="B200" s="29"/>
      <c r="C200" s="29"/>
      <c r="D200" s="29"/>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row>
    <row r="201" spans="1:46" s="2" customFormat="1" ht="12.75">
      <c r="A201" s="100"/>
      <c r="B201" s="29"/>
      <c r="C201" s="29"/>
      <c r="D201" s="29"/>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row>
    <row r="202" spans="1:46" s="2" customFormat="1" ht="12.75">
      <c r="A202" s="100"/>
      <c r="B202" s="29"/>
      <c r="C202" s="29"/>
      <c r="D202" s="29"/>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row>
    <row r="203" spans="1:46" s="2" customFormat="1" ht="12.75">
      <c r="A203" s="100"/>
      <c r="B203" s="29"/>
      <c r="C203" s="29"/>
      <c r="D203" s="29"/>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row>
    <row r="204" spans="1:46" s="2" customFormat="1" ht="12.75">
      <c r="A204" s="100"/>
      <c r="B204" s="29"/>
      <c r="C204" s="29"/>
      <c r="D204" s="29"/>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row>
    <row r="205" spans="1:46" s="2" customFormat="1" ht="12.75">
      <c r="A205" s="100"/>
      <c r="B205" s="29"/>
      <c r="C205" s="29"/>
      <c r="D205" s="29"/>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row>
    <row r="206" spans="1:46" s="2" customFormat="1" ht="12.75">
      <c r="A206" s="100"/>
      <c r="B206" s="29"/>
      <c r="C206" s="29"/>
      <c r="D206" s="29"/>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row>
    <row r="207" spans="1:46" s="2" customFormat="1" ht="12.75">
      <c r="A207" s="100"/>
      <c r="B207" s="29"/>
      <c r="C207" s="29"/>
      <c r="D207" s="29"/>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row>
    <row r="208" spans="1:46" s="2" customFormat="1" ht="12.75">
      <c r="A208" s="100"/>
      <c r="B208" s="29"/>
      <c r="C208" s="29"/>
      <c r="D208" s="29"/>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row>
    <row r="209" spans="1:46" s="2" customFormat="1" ht="12.75">
      <c r="A209" s="99" t="s">
        <v>86</v>
      </c>
      <c r="B209" s="27" t="s">
        <v>169</v>
      </c>
      <c r="C209" s="27"/>
      <c r="D209" s="29"/>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row>
    <row r="210" spans="1:46" s="2" customFormat="1" ht="12.75">
      <c r="A210" s="99"/>
      <c r="B210" s="27"/>
      <c r="C210" s="27"/>
      <c r="D210" s="29"/>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row>
    <row r="211" spans="1:46" s="2" customFormat="1" ht="12.75">
      <c r="A211" s="100"/>
      <c r="B211" s="27" t="s">
        <v>170</v>
      </c>
      <c r="C211" s="27"/>
      <c r="D211" s="29"/>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row>
    <row r="212" spans="1:46" s="2" customFormat="1" ht="12.75">
      <c r="A212" s="100"/>
      <c r="B212" s="27"/>
      <c r="C212" s="27"/>
      <c r="D212" s="29"/>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row>
    <row r="213" spans="1:46" s="2" customFormat="1" ht="12.75">
      <c r="A213" s="100"/>
      <c r="B213" s="27"/>
      <c r="C213" s="27" t="s">
        <v>213</v>
      </c>
      <c r="D213" s="29"/>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row>
    <row r="214" spans="1:46" s="2" customFormat="1" ht="12.75">
      <c r="A214" s="100"/>
      <c r="B214" s="27"/>
      <c r="C214" s="27"/>
      <c r="D214" s="29"/>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row>
    <row r="215" spans="1:46" s="2" customFormat="1" ht="12.75">
      <c r="A215" s="100"/>
      <c r="B215" s="27"/>
      <c r="C215" s="27"/>
      <c r="D215" s="29"/>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row>
    <row r="216" spans="1:46" s="2" customFormat="1" ht="12.75">
      <c r="A216" s="100"/>
      <c r="B216" s="27"/>
      <c r="C216" s="27"/>
      <c r="D216" s="29"/>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row>
    <row r="217" spans="1:46" s="2" customFormat="1" ht="12.75">
      <c r="A217" s="100"/>
      <c r="B217" s="27"/>
      <c r="C217" s="27"/>
      <c r="D217" s="29"/>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row>
    <row r="218" spans="1:46" s="2" customFormat="1" ht="12.75">
      <c r="A218" s="100"/>
      <c r="B218" s="27"/>
      <c r="C218" s="27"/>
      <c r="D218" s="29"/>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row>
    <row r="219" spans="1:46" s="2" customFormat="1" ht="12.75">
      <c r="A219" s="100"/>
      <c r="B219" s="27"/>
      <c r="C219" s="27"/>
      <c r="D219" s="29"/>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row>
    <row r="220" spans="1:46" s="2" customFormat="1" ht="12.75">
      <c r="A220" s="100"/>
      <c r="B220" s="27"/>
      <c r="C220" s="27"/>
      <c r="D220" s="29"/>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row>
    <row r="221" spans="1:46" s="2" customFormat="1" ht="12.75">
      <c r="A221" s="100"/>
      <c r="B221" s="27"/>
      <c r="C221" s="27"/>
      <c r="D221" s="29"/>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row>
    <row r="222" spans="1:46" s="2" customFormat="1" ht="12.75">
      <c r="A222" s="100"/>
      <c r="B222" s="27"/>
      <c r="C222" s="27"/>
      <c r="D222" s="29"/>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row>
    <row r="223" spans="1:46" s="2" customFormat="1" ht="12.75">
      <c r="A223" s="100"/>
      <c r="B223" s="27"/>
      <c r="C223" s="27"/>
      <c r="D223" s="29"/>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row>
    <row r="224" spans="1:46" s="2" customFormat="1" ht="12.75">
      <c r="A224" s="100"/>
      <c r="B224" s="27"/>
      <c r="C224" s="27"/>
      <c r="D224" s="29"/>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row>
    <row r="225" spans="1:46" s="2" customFormat="1" ht="12.75">
      <c r="A225" s="100"/>
      <c r="B225" s="27"/>
      <c r="C225" s="27"/>
      <c r="D225" s="29"/>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row>
    <row r="226" spans="1:46" s="2" customFormat="1" ht="12.75">
      <c r="A226" s="100"/>
      <c r="B226" s="27"/>
      <c r="C226" s="27"/>
      <c r="D226" s="29"/>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row>
    <row r="227" spans="1:46" s="2" customFormat="1" ht="12.75">
      <c r="A227" s="100"/>
      <c r="B227" s="27"/>
      <c r="C227" s="27"/>
      <c r="D227" s="29"/>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row>
    <row r="228" spans="1:46" s="2" customFormat="1" ht="12.75">
      <c r="A228" s="100"/>
      <c r="B228" s="27"/>
      <c r="C228" s="27"/>
      <c r="D228" s="29"/>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row>
    <row r="229" spans="1:46" s="2" customFormat="1" ht="12.75">
      <c r="A229" s="100"/>
      <c r="B229" s="27"/>
      <c r="C229" s="27"/>
      <c r="D229" s="29"/>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row>
    <row r="230" spans="1:46" s="2" customFormat="1" ht="12.75">
      <c r="A230" s="100"/>
      <c r="B230" s="27"/>
      <c r="C230" s="27"/>
      <c r="D230" s="29"/>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row>
    <row r="231" spans="1:46" s="2" customFormat="1" ht="12.75">
      <c r="A231" s="100"/>
      <c r="B231" s="27"/>
      <c r="C231" s="27"/>
      <c r="D231" s="29"/>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row>
    <row r="232" spans="1:46" s="2" customFormat="1" ht="12.75">
      <c r="A232" s="100"/>
      <c r="B232" s="27"/>
      <c r="C232" s="27"/>
      <c r="D232" s="29"/>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row>
    <row r="233" spans="1:46" s="2" customFormat="1" ht="12.75">
      <c r="A233" s="100"/>
      <c r="B233" s="27"/>
      <c r="C233" s="27"/>
      <c r="D233" s="29"/>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row>
    <row r="234" spans="1:46" s="2" customFormat="1" ht="12.75">
      <c r="A234" s="100"/>
      <c r="B234" s="27"/>
      <c r="C234" s="27"/>
      <c r="D234" s="29"/>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row>
    <row r="235" spans="1:46" s="2" customFormat="1" ht="12.75">
      <c r="A235" s="100"/>
      <c r="B235" s="27"/>
      <c r="C235" s="27"/>
      <c r="D235" s="29"/>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row>
    <row r="236" spans="1:46" s="2" customFormat="1" ht="12.75">
      <c r="A236" s="100"/>
      <c r="B236" s="27"/>
      <c r="C236" s="27"/>
      <c r="D236" s="29"/>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row>
    <row r="237" spans="1:46" s="2" customFormat="1" ht="12.75">
      <c r="A237" s="100"/>
      <c r="B237" s="27"/>
      <c r="C237" s="27"/>
      <c r="D237" s="29"/>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row>
    <row r="238" spans="1:46" s="2" customFormat="1" ht="12.75">
      <c r="A238" s="100"/>
      <c r="B238" s="27"/>
      <c r="C238" s="27"/>
      <c r="D238" s="29"/>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row>
    <row r="239" spans="1:46" s="2" customFormat="1" ht="12.75">
      <c r="A239" s="100"/>
      <c r="B239" s="27"/>
      <c r="C239" s="27"/>
      <c r="D239" s="29"/>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row>
    <row r="240" spans="1:46" s="2" customFormat="1" ht="12.75">
      <c r="A240" s="100"/>
      <c r="B240" s="27"/>
      <c r="C240" s="27"/>
      <c r="D240" s="29"/>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row>
    <row r="241" spans="1:46" s="2" customFormat="1" ht="12.75">
      <c r="A241" s="100"/>
      <c r="B241" s="27"/>
      <c r="C241" s="27" t="s">
        <v>309</v>
      </c>
      <c r="D241" s="29"/>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row>
    <row r="242" spans="1:46" s="2" customFormat="1" ht="12.75">
      <c r="A242" s="100"/>
      <c r="B242" s="27"/>
      <c r="C242" s="27"/>
      <c r="D242" s="29"/>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row>
    <row r="243" spans="1:46" s="2" customFormat="1" ht="12.75">
      <c r="A243" s="100"/>
      <c r="B243" s="27"/>
      <c r="C243" s="27"/>
      <c r="D243" s="29"/>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row>
    <row r="244" spans="1:46" s="2" customFormat="1" ht="12.75">
      <c r="A244" s="100"/>
      <c r="B244" s="27"/>
      <c r="C244" s="27"/>
      <c r="D244" s="29"/>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row>
    <row r="245" spans="1:46" s="2" customFormat="1" ht="12.75">
      <c r="A245" s="100"/>
      <c r="B245" s="27"/>
      <c r="C245" s="27"/>
      <c r="D245" s="29"/>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row>
    <row r="246" spans="1:46" s="2" customFormat="1" ht="12.75">
      <c r="A246" s="100"/>
      <c r="B246" s="27"/>
      <c r="C246" s="27"/>
      <c r="D246" s="29"/>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row>
    <row r="247" spans="1:46" s="2" customFormat="1" ht="12.75">
      <c r="A247" s="100"/>
      <c r="B247" s="27"/>
      <c r="C247" s="27"/>
      <c r="D247" s="29"/>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row>
    <row r="248" spans="1:46" s="2" customFormat="1" ht="12.75">
      <c r="A248" s="100"/>
      <c r="B248" s="27"/>
      <c r="C248" s="27"/>
      <c r="D248" s="29"/>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row>
    <row r="249" spans="1:46" s="2" customFormat="1" ht="12.75">
      <c r="A249" s="100"/>
      <c r="B249" s="27"/>
      <c r="C249" s="27"/>
      <c r="D249" s="29"/>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row>
    <row r="250" spans="1:46" s="2" customFormat="1" ht="12.75">
      <c r="A250" s="100"/>
      <c r="B250" s="27"/>
      <c r="C250" s="27"/>
      <c r="D250" s="29"/>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row>
    <row r="251" spans="1:46" s="2" customFormat="1" ht="12.75">
      <c r="A251" s="100"/>
      <c r="B251" s="27"/>
      <c r="C251" s="29" t="s">
        <v>141</v>
      </c>
      <c r="D251" s="29"/>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row>
    <row r="252" spans="1:46" s="2" customFormat="1" ht="12.75">
      <c r="A252" s="100"/>
      <c r="B252" s="27"/>
      <c r="C252" s="29"/>
      <c r="D252" s="29"/>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row>
    <row r="253" spans="1:46" s="2" customFormat="1" ht="12.75">
      <c r="A253" s="100"/>
      <c r="B253" s="27"/>
      <c r="C253" s="29"/>
      <c r="D253" s="29"/>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row>
    <row r="254" spans="1:46" s="2" customFormat="1" ht="12.75">
      <c r="A254" s="100"/>
      <c r="B254" s="27"/>
      <c r="C254" s="29"/>
      <c r="D254" s="29"/>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row>
    <row r="255" spans="1:46" s="2" customFormat="1" ht="12.75">
      <c r="A255" s="100"/>
      <c r="B255" s="27"/>
      <c r="C255" s="29"/>
      <c r="D255" s="29"/>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row>
    <row r="256" spans="1:46" s="2" customFormat="1" ht="12.75">
      <c r="A256" s="100"/>
      <c r="B256" s="27"/>
      <c r="C256" s="29"/>
      <c r="D256" s="29"/>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row>
    <row r="257" spans="1:46" s="2" customFormat="1" ht="12.75">
      <c r="A257" s="100"/>
      <c r="B257" s="27"/>
      <c r="C257" s="29" t="s">
        <v>142</v>
      </c>
      <c r="D257" s="29"/>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row>
    <row r="258" spans="1:46" s="2" customFormat="1" ht="12.75">
      <c r="A258" s="100"/>
      <c r="B258" s="27"/>
      <c r="C258" s="27"/>
      <c r="D258" s="29"/>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row>
    <row r="259" spans="1:46" s="2" customFormat="1" ht="12.75">
      <c r="A259" s="100"/>
      <c r="B259" s="27"/>
      <c r="C259" s="27"/>
      <c r="D259" s="29"/>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row>
    <row r="260" spans="1:46" s="2" customFormat="1" ht="12.75">
      <c r="A260" s="100"/>
      <c r="B260" s="27"/>
      <c r="C260" s="27"/>
      <c r="D260" s="29"/>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row>
    <row r="261" spans="1:46" s="2" customFormat="1" ht="12.75">
      <c r="A261" s="100"/>
      <c r="B261" s="27"/>
      <c r="C261" s="29" t="s">
        <v>166</v>
      </c>
      <c r="D261" s="29"/>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row>
    <row r="262" spans="1:46" s="2" customFormat="1" ht="12.75">
      <c r="A262" s="100"/>
      <c r="B262" s="27"/>
      <c r="C262" s="27"/>
      <c r="D262" s="29"/>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row>
    <row r="263" spans="1:46" s="2" customFormat="1" ht="12.75">
      <c r="A263" s="100"/>
      <c r="B263" s="27"/>
      <c r="C263" s="27"/>
      <c r="D263" s="29"/>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row>
    <row r="264" spans="1:46" s="2" customFormat="1" ht="12.75">
      <c r="A264" s="100"/>
      <c r="B264" s="27"/>
      <c r="C264" s="27"/>
      <c r="D264" s="29"/>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row>
    <row r="265" spans="1:46" s="2" customFormat="1" ht="12.75">
      <c r="A265" s="100"/>
      <c r="B265" s="27"/>
      <c r="C265" s="27"/>
      <c r="D265" s="29"/>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row>
    <row r="266" spans="1:46" s="2" customFormat="1" ht="12.75">
      <c r="A266" s="100"/>
      <c r="B266" s="27"/>
      <c r="C266" s="27"/>
      <c r="D266" s="29"/>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row>
    <row r="267" spans="1:46" s="2" customFormat="1" ht="12.75">
      <c r="A267" s="100"/>
      <c r="B267" s="27"/>
      <c r="C267" s="27"/>
      <c r="D267" s="29"/>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row>
    <row r="268" spans="1:46" s="2" customFormat="1" ht="12.75">
      <c r="A268" s="100"/>
      <c r="B268" s="27"/>
      <c r="C268" s="27"/>
      <c r="D268" s="29"/>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row>
    <row r="269" spans="1:46" s="2" customFormat="1" ht="12.75">
      <c r="A269" s="99" t="s">
        <v>86</v>
      </c>
      <c r="B269" s="27" t="s">
        <v>169</v>
      </c>
      <c r="C269" s="27"/>
      <c r="D269" s="29"/>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row>
    <row r="270" spans="1:46" s="2" customFormat="1" ht="12.75">
      <c r="A270" s="100"/>
      <c r="B270" s="27"/>
      <c r="C270" s="27"/>
      <c r="D270" s="29"/>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row>
    <row r="271" spans="1:46" s="2" customFormat="1" ht="12.75">
      <c r="A271" s="99"/>
      <c r="B271" s="27" t="s">
        <v>174</v>
      </c>
      <c r="C271" s="27"/>
      <c r="D271" s="29"/>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row>
    <row r="272" spans="1:46" s="2" customFormat="1" ht="12.75">
      <c r="A272" s="100"/>
      <c r="B272" s="29"/>
      <c r="C272" s="29"/>
      <c r="D272" s="29"/>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row>
    <row r="273" spans="1:46" s="2" customFormat="1" ht="12.75">
      <c r="A273" s="100"/>
      <c r="B273" s="29"/>
      <c r="C273" s="29"/>
      <c r="D273" s="29"/>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row>
    <row r="274" spans="1:46" s="2" customFormat="1" ht="12.75">
      <c r="A274" s="100"/>
      <c r="B274" s="29"/>
      <c r="C274" s="29"/>
      <c r="D274" s="29"/>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row>
    <row r="275" spans="1:46" s="2" customFormat="1" ht="12.75">
      <c r="A275" s="100"/>
      <c r="B275" s="29"/>
      <c r="C275" s="29"/>
      <c r="D275" s="29"/>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row>
    <row r="276" spans="1:46" s="2" customFormat="1" ht="12.75">
      <c r="A276" s="100"/>
      <c r="B276" s="29"/>
      <c r="C276" s="29"/>
      <c r="D276" s="29"/>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row>
    <row r="277" spans="1:46" s="2" customFormat="1" ht="12.75">
      <c r="A277" s="100"/>
      <c r="B277" s="27"/>
      <c r="C277" s="27"/>
      <c r="D277" s="43" t="s">
        <v>112</v>
      </c>
      <c r="E277" s="43" t="s">
        <v>203</v>
      </c>
      <c r="F277" s="43" t="s">
        <v>214</v>
      </c>
      <c r="G277" s="208" t="s">
        <v>208</v>
      </c>
      <c r="H277" s="55"/>
      <c r="I277" s="43" t="s">
        <v>202</v>
      </c>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row>
    <row r="278" spans="1:46" s="2" customFormat="1" ht="12.75">
      <c r="A278" s="100"/>
      <c r="B278" s="27" t="s">
        <v>173</v>
      </c>
      <c r="C278" s="27"/>
      <c r="D278" s="55" t="s">
        <v>113</v>
      </c>
      <c r="E278" s="55" t="s">
        <v>113</v>
      </c>
      <c r="F278" s="55" t="s">
        <v>215</v>
      </c>
      <c r="G278" s="208"/>
      <c r="H278" s="5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row>
    <row r="279" spans="1:46" s="2" customFormat="1" ht="12.75">
      <c r="A279" s="100"/>
      <c r="B279" s="52"/>
      <c r="C279" s="52"/>
      <c r="D279" s="53" t="s">
        <v>28</v>
      </c>
      <c r="E279" s="53" t="s">
        <v>28</v>
      </c>
      <c r="F279" s="53" t="s">
        <v>113</v>
      </c>
      <c r="G279" s="53" t="s">
        <v>28</v>
      </c>
      <c r="H279" s="53" t="s">
        <v>180</v>
      </c>
      <c r="I279" s="86"/>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row>
    <row r="280" spans="1:46" s="2" customFormat="1" ht="12.75">
      <c r="A280" s="100"/>
      <c r="B280" s="29" t="s">
        <v>114</v>
      </c>
      <c r="C280" s="29"/>
      <c r="D280" s="51">
        <v>5000000</v>
      </c>
      <c r="E280" s="31">
        <v>5000000</v>
      </c>
      <c r="F280" s="5" t="s">
        <v>218</v>
      </c>
      <c r="G280" s="56">
        <f>D280-E280</f>
        <v>0</v>
      </c>
      <c r="H280" s="56">
        <v>100</v>
      </c>
      <c r="I280" s="2" t="s">
        <v>181</v>
      </c>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row>
    <row r="281" spans="1:46" s="2" customFormat="1" ht="12.75">
      <c r="A281" s="100"/>
      <c r="B281" s="29" t="s">
        <v>217</v>
      </c>
      <c r="C281" s="29"/>
      <c r="D281" s="51">
        <v>2600000</v>
      </c>
      <c r="E281" s="31">
        <v>2600000</v>
      </c>
      <c r="F281" s="5" t="s">
        <v>218</v>
      </c>
      <c r="G281" s="56">
        <f>D281-E281</f>
        <v>0</v>
      </c>
      <c r="H281" s="56">
        <v>100</v>
      </c>
      <c r="I281" s="2" t="s">
        <v>181</v>
      </c>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row>
    <row r="282" spans="1:46" s="2" customFormat="1" ht="12.75">
      <c r="A282" s="100"/>
      <c r="B282" s="29"/>
      <c r="C282" s="29" t="s">
        <v>216</v>
      </c>
      <c r="F282" s="5"/>
      <c r="H282" s="56"/>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row>
    <row r="283" spans="1:46" s="2" customFormat="1" ht="51">
      <c r="A283" s="100"/>
      <c r="B283" s="90" t="s">
        <v>115</v>
      </c>
      <c r="C283" s="90"/>
      <c r="D283" s="89">
        <v>3000000</v>
      </c>
      <c r="E283" s="88">
        <v>2574756</v>
      </c>
      <c r="F283" s="111" t="s">
        <v>219</v>
      </c>
      <c r="G283" s="87">
        <f>D283-E283</f>
        <v>425244</v>
      </c>
      <c r="H283" s="87">
        <v>78</v>
      </c>
      <c r="I283" s="91" t="s">
        <v>316</v>
      </c>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row>
    <row r="284" spans="1:46" s="2" customFormat="1" ht="12.75">
      <c r="A284" s="100"/>
      <c r="B284" s="29" t="s">
        <v>116</v>
      </c>
      <c r="C284" s="29"/>
      <c r="D284" s="51">
        <v>3110000</v>
      </c>
      <c r="E284" s="31">
        <v>3110000</v>
      </c>
      <c r="F284" s="5" t="s">
        <v>218</v>
      </c>
      <c r="G284" s="56">
        <f>D284-E284</f>
        <v>0</v>
      </c>
      <c r="H284" s="56">
        <v>100</v>
      </c>
      <c r="I284" s="2" t="s">
        <v>181</v>
      </c>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row>
    <row r="285" spans="1:46" s="2" customFormat="1" ht="12.75">
      <c r="A285" s="100"/>
      <c r="B285" s="29" t="s">
        <v>117</v>
      </c>
      <c r="C285" s="29"/>
      <c r="D285" s="51">
        <v>1200000</v>
      </c>
      <c r="E285" s="31">
        <v>1200000</v>
      </c>
      <c r="F285" s="5" t="s">
        <v>218</v>
      </c>
      <c r="G285" s="56">
        <f>D285-E285</f>
        <v>0</v>
      </c>
      <c r="H285" s="56">
        <v>100</v>
      </c>
      <c r="I285" s="2" t="s">
        <v>181</v>
      </c>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row>
    <row r="286" spans="1:46" s="2" customFormat="1" ht="13.5" thickBot="1">
      <c r="A286" s="100"/>
      <c r="B286" s="29"/>
      <c r="C286" s="29"/>
      <c r="D286" s="102">
        <f>SUM(D280:D285)</f>
        <v>14910000</v>
      </c>
      <c r="E286" s="102">
        <f>SUM(E280:E285)</f>
        <v>14484756</v>
      </c>
      <c r="F286" s="102"/>
      <c r="G286" s="102">
        <f>SUM(G280:G285)</f>
        <v>425244</v>
      </c>
      <c r="H286" s="102"/>
      <c r="I286" s="103"/>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row>
    <row r="287" spans="1:46" s="2" customFormat="1" ht="12.75">
      <c r="A287" s="100"/>
      <c r="B287" s="29"/>
      <c r="C287" s="29"/>
      <c r="D287" s="116"/>
      <c r="E287" s="116"/>
      <c r="F287" s="116"/>
      <c r="G287" s="116"/>
      <c r="H287" s="116"/>
      <c r="I287" s="24"/>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row>
    <row r="288" spans="1:46" s="2" customFormat="1" ht="12.75">
      <c r="A288" s="100"/>
      <c r="B288" s="29"/>
      <c r="C288" s="29"/>
      <c r="D288" s="116"/>
      <c r="E288" s="116"/>
      <c r="F288" s="116"/>
      <c r="G288" s="116"/>
      <c r="H288" s="116"/>
      <c r="I288" s="24"/>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row>
    <row r="289" spans="1:46" s="2" customFormat="1" ht="12.75">
      <c r="A289" s="100"/>
      <c r="B289" s="29"/>
      <c r="C289" s="29"/>
      <c r="D289" s="116"/>
      <c r="E289" s="116"/>
      <c r="F289" s="116"/>
      <c r="G289" s="116"/>
      <c r="H289" s="116"/>
      <c r="I289" s="24"/>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row>
    <row r="290" spans="1:46" s="2" customFormat="1" ht="12.75">
      <c r="A290" s="100"/>
      <c r="B290" s="29"/>
      <c r="C290" s="29"/>
      <c r="D290" s="116"/>
      <c r="E290" s="116"/>
      <c r="F290" s="116"/>
      <c r="G290" s="116"/>
      <c r="H290" s="116"/>
      <c r="I290" s="24"/>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row>
    <row r="291" spans="1:46" s="2" customFormat="1" ht="12.75">
      <c r="A291" s="100"/>
      <c r="B291" s="29"/>
      <c r="C291" s="29"/>
      <c r="D291" s="116"/>
      <c r="E291" s="116"/>
      <c r="F291" s="116"/>
      <c r="G291" s="116"/>
      <c r="H291" s="116"/>
      <c r="I291" s="24"/>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row>
    <row r="292" spans="1:46" s="2" customFormat="1" ht="12.75">
      <c r="A292" s="100"/>
      <c r="B292" s="29"/>
      <c r="C292" s="29"/>
      <c r="D292" s="116"/>
      <c r="E292" s="116"/>
      <c r="F292" s="116"/>
      <c r="G292" s="116"/>
      <c r="H292" s="116"/>
      <c r="I292" s="24"/>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row>
    <row r="293" spans="1:46" s="2" customFormat="1" ht="12.75">
      <c r="A293" s="100"/>
      <c r="B293" s="29"/>
      <c r="C293" s="29"/>
      <c r="D293" s="29"/>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row>
    <row r="294" spans="1:46" s="2" customFormat="1" ht="12.75">
      <c r="A294" s="99" t="s">
        <v>87</v>
      </c>
      <c r="B294" s="27" t="s">
        <v>94</v>
      </c>
      <c r="C294" s="27"/>
      <c r="D294" s="29"/>
      <c r="E294" s="25"/>
      <c r="F294" s="25"/>
      <c r="G294" s="25"/>
      <c r="H294" s="25"/>
      <c r="I294" s="29"/>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row>
    <row r="295" spans="1:46" s="2" customFormat="1" ht="12.75">
      <c r="A295" s="100"/>
      <c r="B295" s="27"/>
      <c r="C295" s="27"/>
      <c r="D295" s="29"/>
      <c r="E295" s="25"/>
      <c r="F295" s="25"/>
      <c r="G295" s="25"/>
      <c r="H295" s="25"/>
      <c r="I295" s="29"/>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row>
    <row r="296" spans="1:46" s="2" customFormat="1" ht="12.75">
      <c r="A296" s="99"/>
      <c r="C296" s="29"/>
      <c r="D296" s="29"/>
      <c r="E296" s="25"/>
      <c r="F296" s="25"/>
      <c r="G296" s="25"/>
      <c r="H296" s="25"/>
      <c r="I296" s="25"/>
      <c r="J296" s="29"/>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row>
    <row r="297" spans="1:46" s="2" customFormat="1" ht="12.75">
      <c r="A297" s="99"/>
      <c r="C297" s="29"/>
      <c r="D297" s="29"/>
      <c r="E297" s="25"/>
      <c r="F297" s="25"/>
      <c r="G297" s="25"/>
      <c r="H297" s="25"/>
      <c r="I297" s="25"/>
      <c r="J297" s="29"/>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row>
    <row r="298" spans="1:46" s="2" customFormat="1" ht="12.75">
      <c r="A298" s="100"/>
      <c r="B298" s="29"/>
      <c r="C298" s="29"/>
      <c r="D298" s="29"/>
      <c r="E298" s="55"/>
      <c r="F298" s="43" t="s">
        <v>95</v>
      </c>
      <c r="G298" s="43" t="s">
        <v>96</v>
      </c>
      <c r="H298" s="43"/>
      <c r="I298" s="43" t="s">
        <v>27</v>
      </c>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row>
    <row r="299" spans="1:46" s="2" customFormat="1" ht="12.75">
      <c r="A299" s="100"/>
      <c r="B299" s="29"/>
      <c r="C299" s="29"/>
      <c r="D299" s="29"/>
      <c r="E299" s="55"/>
      <c r="F299" s="55" t="s">
        <v>28</v>
      </c>
      <c r="G299" s="55" t="s">
        <v>28</v>
      </c>
      <c r="H299" s="55"/>
      <c r="I299" s="55" t="s">
        <v>28</v>
      </c>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row>
    <row r="300" spans="1:46" s="2" customFormat="1" ht="12.75">
      <c r="A300" s="100"/>
      <c r="B300" s="29"/>
      <c r="C300" s="29"/>
      <c r="D300" s="29"/>
      <c r="E300" s="35"/>
      <c r="F300" s="35"/>
      <c r="G300" s="35"/>
      <c r="H300" s="35"/>
      <c r="I300" s="29"/>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row>
    <row r="301" spans="1:46" s="2" customFormat="1" ht="12.75">
      <c r="A301" s="100"/>
      <c r="B301" s="29" t="s">
        <v>186</v>
      </c>
      <c r="C301" s="29"/>
      <c r="D301" s="29"/>
      <c r="E301" s="32"/>
      <c r="F301" s="32">
        <v>1604303</v>
      </c>
      <c r="G301" s="35"/>
      <c r="H301" s="35"/>
      <c r="I301" s="73">
        <f>F301+G301</f>
        <v>1604303</v>
      </c>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row>
    <row r="302" spans="1:46" s="2" customFormat="1" ht="12.75">
      <c r="A302" s="100"/>
      <c r="B302" s="29" t="s">
        <v>187</v>
      </c>
      <c r="C302" s="29"/>
      <c r="D302" s="29"/>
      <c r="E302" s="32"/>
      <c r="F302" s="32">
        <v>3144346</v>
      </c>
      <c r="G302" s="34">
        <v>0</v>
      </c>
      <c r="H302" s="34"/>
      <c r="I302" s="73">
        <f>F302+G302</f>
        <v>3144346</v>
      </c>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row>
    <row r="303" spans="1:46" s="2" customFormat="1" ht="12.75">
      <c r="A303" s="100"/>
      <c r="B303" s="29" t="s">
        <v>188</v>
      </c>
      <c r="C303" s="29"/>
      <c r="D303" s="29"/>
      <c r="E303" s="32"/>
      <c r="F303" s="85">
        <v>1360976</v>
      </c>
      <c r="G303" s="54">
        <v>0</v>
      </c>
      <c r="H303" s="54"/>
      <c r="I303" s="73">
        <f>F303+G303</f>
        <v>1360976</v>
      </c>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row>
    <row r="304" spans="1:9" ht="13.5" thickBot="1">
      <c r="A304" s="100"/>
      <c r="B304" s="29" t="s">
        <v>27</v>
      </c>
      <c r="E304" s="60"/>
      <c r="F304" s="95">
        <f>SUM(F301:F303)</f>
        <v>6109625</v>
      </c>
      <c r="G304" s="95">
        <f>SUM(G301:G303)</f>
        <v>0</v>
      </c>
      <c r="H304" s="95"/>
      <c r="I304" s="95">
        <f>SUM(I301:I303)</f>
        <v>6109625</v>
      </c>
    </row>
    <row r="305" spans="1:9" ht="12.75">
      <c r="A305" s="100"/>
      <c r="B305" s="29"/>
      <c r="E305" s="60"/>
      <c r="F305" s="60"/>
      <c r="G305" s="60"/>
      <c r="H305" s="60"/>
      <c r="I305" s="60"/>
    </row>
    <row r="306" spans="2:9" ht="12.75">
      <c r="B306" s="29"/>
      <c r="E306" s="60"/>
      <c r="F306" s="60"/>
      <c r="G306" s="60"/>
      <c r="H306" s="60"/>
      <c r="I306" s="60"/>
    </row>
    <row r="307" spans="2:9" ht="12.75">
      <c r="B307" s="29"/>
      <c r="E307" s="60"/>
      <c r="F307" s="60"/>
      <c r="G307" s="93" t="s">
        <v>189</v>
      </c>
      <c r="H307" s="93"/>
      <c r="I307" s="93" t="s">
        <v>190</v>
      </c>
    </row>
    <row r="308" spans="2:9" ht="12.75">
      <c r="B308" s="29" t="s">
        <v>247</v>
      </c>
      <c r="E308" s="60"/>
      <c r="F308" s="60"/>
      <c r="G308" s="60"/>
      <c r="H308" s="60"/>
      <c r="I308" s="60"/>
    </row>
    <row r="309" spans="2:9" ht="13.5" thickBot="1">
      <c r="B309" s="29" t="s">
        <v>182</v>
      </c>
      <c r="E309" s="60"/>
      <c r="F309" s="60"/>
      <c r="G309" s="94">
        <v>3000000</v>
      </c>
      <c r="H309" s="94"/>
      <c r="I309" s="94">
        <v>1360976</v>
      </c>
    </row>
    <row r="310" spans="2:9" ht="12.75">
      <c r="B310" s="29"/>
      <c r="E310" s="60"/>
      <c r="F310" s="60"/>
      <c r="G310" s="60"/>
      <c r="H310" s="60"/>
      <c r="I310" s="60"/>
    </row>
    <row r="311" spans="1:46" s="2" customFormat="1" ht="12.75">
      <c r="A311" s="99" t="s">
        <v>88</v>
      </c>
      <c r="B311" s="27" t="s">
        <v>39</v>
      </c>
      <c r="C311" s="27"/>
      <c r="D311" s="29"/>
      <c r="E311" s="25"/>
      <c r="F311" s="25"/>
      <c r="G311" s="25"/>
      <c r="H311" s="25"/>
      <c r="I311" s="29"/>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row>
    <row r="312" spans="1:46" s="2" customFormat="1" ht="12.75">
      <c r="A312" s="18"/>
      <c r="B312" s="27"/>
      <c r="C312" s="27"/>
      <c r="D312" s="29"/>
      <c r="E312" s="25"/>
      <c r="F312" s="25"/>
      <c r="G312" s="25"/>
      <c r="H312" s="25"/>
      <c r="I312" s="29"/>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row>
    <row r="313" spans="1:46" s="2" customFormat="1" ht="12.75">
      <c r="A313" s="99"/>
      <c r="I313" s="29"/>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row>
    <row r="314" spans="1:46" s="2" customFormat="1" ht="12.75">
      <c r="A314" s="99"/>
      <c r="I314" s="29"/>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row>
    <row r="315" spans="1:46" s="2" customFormat="1" ht="12.75">
      <c r="A315" s="100"/>
      <c r="I315" s="29"/>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row>
    <row r="316" spans="1:46" s="2" customFormat="1" ht="12.75">
      <c r="A316" s="99" t="s">
        <v>89</v>
      </c>
      <c r="B316" s="27" t="s">
        <v>40</v>
      </c>
      <c r="C316" s="27"/>
      <c r="D316" s="29"/>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row>
    <row r="317" spans="1:46" s="2" customFormat="1" ht="12.75">
      <c r="A317" s="100"/>
      <c r="B317" s="27"/>
      <c r="C317" s="27"/>
      <c r="D317" s="29"/>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row>
    <row r="318" spans="1:46" s="2" customFormat="1" ht="12.75">
      <c r="A318" s="99"/>
      <c r="B318" s="27"/>
      <c r="C318" s="27"/>
      <c r="D318" s="29"/>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row>
    <row r="319" spans="1:46" s="2" customFormat="1" ht="12.75">
      <c r="A319" s="99"/>
      <c r="B319" s="27"/>
      <c r="C319" s="27"/>
      <c r="D319" s="29"/>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row>
    <row r="320" spans="1:46" s="2" customFormat="1" ht="12.75">
      <c r="A320" s="99"/>
      <c r="B320" s="27"/>
      <c r="C320" s="27"/>
      <c r="D320" s="29"/>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row>
    <row r="321" spans="1:46" s="2" customFormat="1" ht="12.75">
      <c r="A321" s="99"/>
      <c r="B321" s="2" t="s">
        <v>141</v>
      </c>
      <c r="I321" s="34"/>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row>
    <row r="322" spans="1:46" s="2" customFormat="1" ht="12.75">
      <c r="A322" s="99"/>
      <c r="I322" s="34"/>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row>
    <row r="323" spans="1:46" s="2" customFormat="1" ht="12.75">
      <c r="A323" s="100"/>
      <c r="I323" s="34"/>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row>
    <row r="324" spans="1:46" s="2" customFormat="1" ht="12.75">
      <c r="A324" s="100"/>
      <c r="I324" s="34"/>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row>
    <row r="325" spans="1:46" s="2" customFormat="1" ht="12.75">
      <c r="A325" s="100"/>
      <c r="B325" s="29"/>
      <c r="C325" s="29"/>
      <c r="D325" s="29"/>
      <c r="E325" s="25"/>
      <c r="F325" s="25"/>
      <c r="G325" s="25"/>
      <c r="H325" s="25"/>
      <c r="I325" s="29"/>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row>
    <row r="326" spans="1:46" s="2" customFormat="1" ht="12.75">
      <c r="A326" s="100"/>
      <c r="B326" s="29"/>
      <c r="C326" s="29"/>
      <c r="D326" s="29"/>
      <c r="E326" s="25"/>
      <c r="F326" s="25"/>
      <c r="G326" s="25"/>
      <c r="H326" s="25"/>
      <c r="I326" s="29"/>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row>
    <row r="327" spans="1:46" s="2" customFormat="1" ht="12.75">
      <c r="A327" s="100"/>
      <c r="B327" s="29"/>
      <c r="C327" s="29"/>
      <c r="D327" s="29"/>
      <c r="E327" s="25"/>
      <c r="F327" s="25"/>
      <c r="G327" s="25"/>
      <c r="H327" s="25"/>
      <c r="I327" s="29"/>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row>
    <row r="328" spans="1:46" s="2" customFormat="1" ht="12.75">
      <c r="A328" s="100"/>
      <c r="B328" s="29"/>
      <c r="C328" s="29"/>
      <c r="D328" s="29"/>
      <c r="E328" s="25"/>
      <c r="F328" s="25"/>
      <c r="G328" s="25"/>
      <c r="H328" s="25"/>
      <c r="I328" s="29"/>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row>
    <row r="329" spans="1:46" s="2" customFormat="1" ht="12.75">
      <c r="A329" s="100"/>
      <c r="B329" s="29"/>
      <c r="C329" s="29"/>
      <c r="D329" s="29"/>
      <c r="E329" s="25"/>
      <c r="F329" s="25"/>
      <c r="G329" s="25"/>
      <c r="H329" s="25"/>
      <c r="I329" s="29"/>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row>
    <row r="330" spans="1:46" s="2" customFormat="1" ht="12.75">
      <c r="A330" s="100"/>
      <c r="B330" s="29"/>
      <c r="C330" s="29"/>
      <c r="D330" s="29"/>
      <c r="E330" s="25"/>
      <c r="F330" s="25"/>
      <c r="G330" s="25"/>
      <c r="H330" s="25"/>
      <c r="I330" s="29"/>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row>
    <row r="331" spans="1:46" s="2" customFormat="1" ht="12.75">
      <c r="A331" s="100"/>
      <c r="B331" s="29"/>
      <c r="C331" s="29"/>
      <c r="D331" s="29"/>
      <c r="E331" s="25"/>
      <c r="F331" s="25"/>
      <c r="G331" s="25"/>
      <c r="H331" s="25"/>
      <c r="I331" s="29"/>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row>
    <row r="332" spans="1:46" s="2" customFormat="1" ht="12.75">
      <c r="A332" s="100"/>
      <c r="B332" s="29"/>
      <c r="C332" s="29"/>
      <c r="D332" s="29"/>
      <c r="E332" s="25"/>
      <c r="F332" s="25"/>
      <c r="G332" s="25"/>
      <c r="H332" s="25"/>
      <c r="I332" s="29"/>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row>
    <row r="333" spans="1:46" s="2" customFormat="1" ht="12.75">
      <c r="A333" s="100"/>
      <c r="B333" s="29"/>
      <c r="C333" s="29"/>
      <c r="D333" s="29"/>
      <c r="E333" s="25"/>
      <c r="F333" s="25"/>
      <c r="G333" s="25"/>
      <c r="H333" s="25"/>
      <c r="I333" s="29"/>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row>
    <row r="334" spans="1:46" s="2" customFormat="1" ht="12.75">
      <c r="A334" s="100"/>
      <c r="B334" s="29"/>
      <c r="C334" s="29"/>
      <c r="D334" s="29"/>
      <c r="E334" s="25"/>
      <c r="F334" s="25"/>
      <c r="G334" s="25"/>
      <c r="H334" s="25"/>
      <c r="I334" s="29"/>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row>
    <row r="335" spans="1:46" s="2" customFormat="1" ht="12.75">
      <c r="A335" s="99"/>
      <c r="B335" s="29" t="s">
        <v>142</v>
      </c>
      <c r="C335" s="29"/>
      <c r="D335" s="29"/>
      <c r="E335" s="25"/>
      <c r="F335" s="25"/>
      <c r="G335" s="25"/>
      <c r="H335" s="25"/>
      <c r="I335" s="29"/>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row>
    <row r="336" spans="1:46" s="2" customFormat="1" ht="12.75">
      <c r="A336" s="100"/>
      <c r="B336" s="29"/>
      <c r="C336" s="29"/>
      <c r="D336" s="29"/>
      <c r="E336" s="25"/>
      <c r="F336" s="25"/>
      <c r="G336" s="25"/>
      <c r="H336" s="25"/>
      <c r="I336" s="29"/>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row>
    <row r="337" spans="1:46" s="2" customFormat="1" ht="12.75">
      <c r="A337" s="100"/>
      <c r="B337" s="29"/>
      <c r="C337" s="29"/>
      <c r="D337" s="29"/>
      <c r="E337" s="25"/>
      <c r="F337" s="25"/>
      <c r="G337" s="25"/>
      <c r="H337" s="25"/>
      <c r="I337" s="29"/>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row>
    <row r="338" spans="1:46" s="2" customFormat="1" ht="12.75">
      <c r="A338" s="100"/>
      <c r="B338" s="29"/>
      <c r="C338" s="29"/>
      <c r="D338" s="29"/>
      <c r="E338" s="25"/>
      <c r="F338" s="25"/>
      <c r="G338" s="25"/>
      <c r="H338" s="25"/>
      <c r="I338" s="29"/>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row>
    <row r="339" spans="1:46" s="2" customFormat="1" ht="12.75">
      <c r="A339" s="100"/>
      <c r="B339" s="29"/>
      <c r="C339" s="29"/>
      <c r="D339" s="29"/>
      <c r="E339" s="25"/>
      <c r="F339" s="25"/>
      <c r="G339" s="25"/>
      <c r="H339" s="25"/>
      <c r="I339" s="29"/>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row>
    <row r="340" spans="1:46" s="2" customFormat="1" ht="12.75">
      <c r="A340" s="100"/>
      <c r="B340" s="29"/>
      <c r="C340" s="29"/>
      <c r="D340" s="29"/>
      <c r="E340" s="25"/>
      <c r="F340" s="25"/>
      <c r="G340" s="25"/>
      <c r="H340" s="25"/>
      <c r="I340" s="29"/>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row>
    <row r="341" spans="1:46" s="2" customFormat="1" ht="12.75">
      <c r="A341" s="100"/>
      <c r="B341" s="29"/>
      <c r="C341" s="29"/>
      <c r="D341" s="29"/>
      <c r="E341" s="25"/>
      <c r="F341" s="25"/>
      <c r="G341" s="25"/>
      <c r="H341" s="25"/>
      <c r="I341" s="29"/>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row>
    <row r="342" spans="1:46" s="2" customFormat="1" ht="12.75">
      <c r="A342" s="100"/>
      <c r="B342" s="29"/>
      <c r="C342" s="29"/>
      <c r="D342" s="29"/>
      <c r="E342" s="25"/>
      <c r="F342" s="25"/>
      <c r="G342" s="25"/>
      <c r="H342" s="25"/>
      <c r="I342" s="29"/>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row>
    <row r="343" spans="1:46" s="2" customFormat="1" ht="12.75">
      <c r="A343" s="100"/>
      <c r="B343" s="29"/>
      <c r="C343" s="29"/>
      <c r="D343" s="29"/>
      <c r="E343" s="25"/>
      <c r="F343" s="25"/>
      <c r="G343" s="25"/>
      <c r="H343" s="25"/>
      <c r="I343" s="29"/>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row>
    <row r="344" spans="1:46" s="2" customFormat="1" ht="12.75">
      <c r="A344" s="100"/>
      <c r="B344" s="29"/>
      <c r="C344" s="29"/>
      <c r="D344" s="29"/>
      <c r="E344" s="25"/>
      <c r="F344" s="25"/>
      <c r="G344" s="25"/>
      <c r="H344" s="25"/>
      <c r="I344" s="29"/>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row>
    <row r="345" spans="1:46" s="2" customFormat="1" ht="12.75">
      <c r="A345" s="100"/>
      <c r="B345" s="29"/>
      <c r="C345" s="29"/>
      <c r="D345" s="29"/>
      <c r="E345" s="25"/>
      <c r="F345" s="25"/>
      <c r="G345" s="25"/>
      <c r="H345" s="25"/>
      <c r="I345" s="29"/>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row>
    <row r="346" spans="1:46" s="2" customFormat="1" ht="12.75">
      <c r="A346" s="100"/>
      <c r="B346" s="29"/>
      <c r="C346" s="29"/>
      <c r="D346" s="29"/>
      <c r="E346" s="25"/>
      <c r="F346" s="25"/>
      <c r="G346" s="25"/>
      <c r="H346" s="25"/>
      <c r="I346" s="29"/>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row>
    <row r="347" spans="1:46" s="2" customFormat="1" ht="12.75">
      <c r="A347" s="100"/>
      <c r="B347" s="29"/>
      <c r="C347" s="29"/>
      <c r="D347" s="29"/>
      <c r="E347" s="25"/>
      <c r="F347" s="25"/>
      <c r="G347" s="25"/>
      <c r="H347" s="25"/>
      <c r="I347" s="29"/>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row>
    <row r="348" spans="1:46" s="2" customFormat="1" ht="12.75">
      <c r="A348" s="100"/>
      <c r="B348" s="29"/>
      <c r="C348" s="29"/>
      <c r="D348" s="29"/>
      <c r="E348" s="25"/>
      <c r="F348" s="25"/>
      <c r="G348" s="25"/>
      <c r="H348" s="25"/>
      <c r="I348" s="29"/>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row>
    <row r="349" spans="1:46" s="2" customFormat="1" ht="12.75">
      <c r="A349" s="100"/>
      <c r="B349" s="29"/>
      <c r="C349" s="29"/>
      <c r="D349" s="29"/>
      <c r="E349" s="25"/>
      <c r="F349" s="25"/>
      <c r="G349" s="25"/>
      <c r="H349" s="25"/>
      <c r="I349" s="29"/>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row>
    <row r="350" spans="1:46" s="2" customFormat="1" ht="12.75">
      <c r="A350" s="100"/>
      <c r="B350" s="29"/>
      <c r="C350" s="29"/>
      <c r="D350" s="29"/>
      <c r="E350" s="25"/>
      <c r="F350" s="25"/>
      <c r="G350" s="25"/>
      <c r="H350" s="25"/>
      <c r="I350" s="29"/>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row>
    <row r="351" spans="1:46" s="2" customFormat="1" ht="12.75">
      <c r="A351" s="100"/>
      <c r="B351" s="29"/>
      <c r="C351" s="29"/>
      <c r="D351" s="29"/>
      <c r="E351" s="25"/>
      <c r="F351" s="25"/>
      <c r="G351" s="25"/>
      <c r="H351" s="25"/>
      <c r="I351" s="29"/>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row>
    <row r="352" spans="1:46" s="2" customFormat="1" ht="12.75">
      <c r="A352" s="100"/>
      <c r="B352" s="29"/>
      <c r="C352" s="29"/>
      <c r="D352" s="29"/>
      <c r="E352" s="25"/>
      <c r="F352" s="25"/>
      <c r="G352" s="25"/>
      <c r="H352" s="25"/>
      <c r="I352" s="29"/>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row>
    <row r="353" spans="1:46" s="2" customFormat="1" ht="12.75">
      <c r="A353" s="100"/>
      <c r="B353" s="29"/>
      <c r="C353" s="29"/>
      <c r="D353" s="29"/>
      <c r="E353" s="25"/>
      <c r="F353" s="25"/>
      <c r="G353" s="25"/>
      <c r="H353" s="25"/>
      <c r="I353" s="29"/>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row>
    <row r="354" spans="1:46" s="2" customFormat="1" ht="13.5" customHeight="1">
      <c r="A354" s="100"/>
      <c r="B354" s="29"/>
      <c r="C354" s="29"/>
      <c r="D354" s="29"/>
      <c r="E354" s="25"/>
      <c r="F354" s="25"/>
      <c r="G354" s="25"/>
      <c r="H354" s="25"/>
      <c r="I354" s="29"/>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row>
    <row r="355" spans="1:46" s="2" customFormat="1" ht="13.5" customHeight="1">
      <c r="A355" s="100"/>
      <c r="B355" s="29"/>
      <c r="C355" s="29"/>
      <c r="D355" s="29"/>
      <c r="E355" s="25"/>
      <c r="F355" s="25"/>
      <c r="G355" s="25"/>
      <c r="H355" s="25"/>
      <c r="I355" s="29"/>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row>
    <row r="356" spans="1:46" s="2" customFormat="1" ht="12.75">
      <c r="A356" s="100"/>
      <c r="B356" s="29"/>
      <c r="C356" s="29"/>
      <c r="D356" s="29"/>
      <c r="E356" s="25"/>
      <c r="F356" s="25"/>
      <c r="G356" s="25"/>
      <c r="H356" s="25"/>
      <c r="I356" s="29"/>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row>
    <row r="357" spans="1:46" s="2" customFormat="1" ht="12.75">
      <c r="A357" s="100"/>
      <c r="B357" s="29"/>
      <c r="C357" s="29"/>
      <c r="D357" s="29"/>
      <c r="E357" s="25"/>
      <c r="F357" s="25"/>
      <c r="G357" s="25"/>
      <c r="H357" s="25"/>
      <c r="I357" s="29"/>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row>
    <row r="358" spans="1:46" s="2" customFormat="1" ht="12.75">
      <c r="A358" s="100"/>
      <c r="B358" s="29"/>
      <c r="C358" s="29"/>
      <c r="D358" s="29"/>
      <c r="E358" s="25"/>
      <c r="F358" s="25"/>
      <c r="G358" s="25"/>
      <c r="H358" s="25"/>
      <c r="I358" s="29"/>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row>
    <row r="359" spans="1:46" s="2" customFormat="1" ht="12.75">
      <c r="A359" s="100"/>
      <c r="B359" s="29"/>
      <c r="C359" s="29"/>
      <c r="D359" s="29"/>
      <c r="E359" s="25"/>
      <c r="F359" s="25"/>
      <c r="G359" s="25"/>
      <c r="H359" s="25"/>
      <c r="I359" s="29"/>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row>
    <row r="360" spans="1:46" s="2" customFormat="1" ht="12.75">
      <c r="A360" s="100"/>
      <c r="B360" s="29"/>
      <c r="C360" s="29"/>
      <c r="D360" s="29"/>
      <c r="E360" s="25"/>
      <c r="F360" s="25"/>
      <c r="G360" s="25"/>
      <c r="H360" s="25"/>
      <c r="I360" s="29"/>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row>
    <row r="361" spans="1:46" s="2" customFormat="1" ht="12.75">
      <c r="A361" s="100"/>
      <c r="B361" s="29"/>
      <c r="C361" s="29"/>
      <c r="D361" s="29"/>
      <c r="E361" s="25"/>
      <c r="F361" s="25"/>
      <c r="G361" s="25"/>
      <c r="H361" s="25"/>
      <c r="I361" s="29"/>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row>
    <row r="362" spans="1:46" s="2" customFormat="1" ht="12.75">
      <c r="A362" s="100"/>
      <c r="B362" s="29"/>
      <c r="C362" s="29"/>
      <c r="D362" s="29"/>
      <c r="E362" s="25"/>
      <c r="F362" s="25"/>
      <c r="G362" s="25"/>
      <c r="H362" s="25"/>
      <c r="I362" s="29"/>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row>
    <row r="363" spans="1:46" s="2" customFormat="1" ht="12.75">
      <c r="A363" s="100"/>
      <c r="B363" s="29"/>
      <c r="C363" s="29"/>
      <c r="D363" s="29"/>
      <c r="E363" s="25"/>
      <c r="F363" s="25"/>
      <c r="G363" s="25"/>
      <c r="H363" s="25"/>
      <c r="I363" s="29"/>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row>
    <row r="364" spans="1:46" s="2" customFormat="1" ht="12.75">
      <c r="A364" s="100"/>
      <c r="B364" s="29"/>
      <c r="C364" s="29"/>
      <c r="D364" s="29"/>
      <c r="E364" s="25"/>
      <c r="F364" s="25"/>
      <c r="G364" s="25"/>
      <c r="H364" s="25"/>
      <c r="I364" s="29"/>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row>
    <row r="365" spans="1:46" s="2" customFormat="1" ht="12.75">
      <c r="A365" s="100"/>
      <c r="B365" s="29"/>
      <c r="C365" s="29"/>
      <c r="D365" s="29"/>
      <c r="E365" s="25"/>
      <c r="F365" s="25"/>
      <c r="G365" s="25"/>
      <c r="H365" s="25"/>
      <c r="I365" s="29"/>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row>
    <row r="366" spans="1:46" s="2" customFormat="1" ht="12.75">
      <c r="A366" s="100"/>
      <c r="B366" s="29"/>
      <c r="C366" s="29"/>
      <c r="D366" s="29"/>
      <c r="E366" s="25"/>
      <c r="F366" s="25"/>
      <c r="G366" s="25"/>
      <c r="H366" s="25"/>
      <c r="I366" s="29"/>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row>
    <row r="367" spans="1:46" s="2" customFormat="1" ht="12.75">
      <c r="A367" s="100"/>
      <c r="B367" s="29"/>
      <c r="C367" s="29"/>
      <c r="D367" s="29"/>
      <c r="E367" s="25"/>
      <c r="F367" s="25"/>
      <c r="G367" s="25"/>
      <c r="H367" s="25"/>
      <c r="I367" s="29"/>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row>
    <row r="368" spans="1:46" s="2" customFormat="1" ht="12.75">
      <c r="A368" s="100"/>
      <c r="B368" s="29"/>
      <c r="C368" s="29"/>
      <c r="D368" s="29"/>
      <c r="E368" s="25"/>
      <c r="F368" s="25"/>
      <c r="G368" s="25"/>
      <c r="H368" s="25"/>
      <c r="I368" s="29"/>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row>
    <row r="369" spans="1:46" s="2" customFormat="1" ht="12.75">
      <c r="A369" s="100"/>
      <c r="B369" s="29"/>
      <c r="C369" s="29"/>
      <c r="D369" s="29"/>
      <c r="E369" s="25"/>
      <c r="F369" s="25"/>
      <c r="G369" s="25"/>
      <c r="H369" s="25"/>
      <c r="I369" s="29"/>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row>
    <row r="370" spans="1:46" s="2" customFormat="1" ht="12.75">
      <c r="A370" s="100"/>
      <c r="B370" s="29"/>
      <c r="C370" s="29"/>
      <c r="D370" s="29"/>
      <c r="E370" s="25"/>
      <c r="F370" s="25"/>
      <c r="G370" s="25"/>
      <c r="H370" s="25"/>
      <c r="I370" s="29"/>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row>
    <row r="371" spans="1:46" s="2" customFormat="1" ht="12.75">
      <c r="A371" s="100"/>
      <c r="B371" s="29"/>
      <c r="C371" s="29"/>
      <c r="D371" s="29"/>
      <c r="E371" s="25"/>
      <c r="F371" s="25"/>
      <c r="G371" s="25"/>
      <c r="H371" s="25"/>
      <c r="I371" s="29"/>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row>
    <row r="372" spans="1:46" s="2" customFormat="1" ht="12.75">
      <c r="A372" s="100"/>
      <c r="B372" s="29"/>
      <c r="C372" s="29"/>
      <c r="D372" s="29"/>
      <c r="E372" s="25"/>
      <c r="F372" s="25"/>
      <c r="G372" s="25"/>
      <c r="H372" s="25"/>
      <c r="I372" s="29"/>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row>
    <row r="373" spans="1:46" s="2" customFormat="1" ht="12.75">
      <c r="A373" s="100"/>
      <c r="B373" s="29"/>
      <c r="C373" s="29"/>
      <c r="D373" s="29"/>
      <c r="E373" s="25"/>
      <c r="F373" s="25"/>
      <c r="G373" s="25"/>
      <c r="H373" s="25"/>
      <c r="I373" s="29"/>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row>
    <row r="374" spans="1:46" s="2" customFormat="1" ht="12.75">
      <c r="A374" s="99" t="s">
        <v>89</v>
      </c>
      <c r="B374" s="27" t="s">
        <v>246</v>
      </c>
      <c r="C374" s="29"/>
      <c r="D374" s="29"/>
      <c r="E374" s="25"/>
      <c r="F374" s="25"/>
      <c r="G374" s="25"/>
      <c r="H374" s="25"/>
      <c r="I374" s="29"/>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row>
    <row r="375" spans="1:46" s="2" customFormat="1" ht="12.75">
      <c r="A375" s="100"/>
      <c r="B375" s="29"/>
      <c r="C375" s="29"/>
      <c r="D375" s="29"/>
      <c r="E375" s="25"/>
      <c r="F375" s="25"/>
      <c r="G375" s="25"/>
      <c r="H375" s="25"/>
      <c r="I375" s="29"/>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row>
    <row r="376" spans="1:46" s="2" customFormat="1" ht="12.75">
      <c r="A376" s="100"/>
      <c r="B376" s="29" t="s">
        <v>166</v>
      </c>
      <c r="C376" s="29"/>
      <c r="D376" s="29"/>
      <c r="E376" s="25"/>
      <c r="F376" s="25"/>
      <c r="G376" s="25"/>
      <c r="H376" s="25"/>
      <c r="I376" s="29"/>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row>
    <row r="377" spans="1:46" s="2" customFormat="1" ht="12.75">
      <c r="A377" s="100"/>
      <c r="B377" s="29"/>
      <c r="C377" s="29"/>
      <c r="D377" s="29"/>
      <c r="E377" s="25"/>
      <c r="F377" s="25"/>
      <c r="G377" s="25"/>
      <c r="H377" s="25"/>
      <c r="I377" s="29"/>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row>
    <row r="378" spans="1:46" s="2" customFormat="1" ht="12.75">
      <c r="A378" s="100"/>
      <c r="B378" s="29"/>
      <c r="C378" s="29"/>
      <c r="D378" s="29"/>
      <c r="E378" s="25"/>
      <c r="F378" s="25"/>
      <c r="G378" s="25"/>
      <c r="H378" s="25"/>
      <c r="I378" s="29"/>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row>
    <row r="379" spans="1:46" s="2" customFormat="1" ht="12.75">
      <c r="A379" s="100"/>
      <c r="B379" s="29"/>
      <c r="C379" s="29"/>
      <c r="D379" s="29"/>
      <c r="E379" s="25"/>
      <c r="F379" s="25"/>
      <c r="G379" s="25"/>
      <c r="H379" s="25"/>
      <c r="I379" s="29"/>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row>
    <row r="380" spans="1:46" s="2" customFormat="1" ht="12.75">
      <c r="A380" s="100"/>
      <c r="B380" s="29"/>
      <c r="C380" s="29"/>
      <c r="D380" s="29"/>
      <c r="E380" s="25"/>
      <c r="F380" s="25"/>
      <c r="G380" s="25"/>
      <c r="H380" s="25"/>
      <c r="I380" s="29"/>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row>
    <row r="381" spans="1:46" s="2" customFormat="1" ht="12.75">
      <c r="A381" s="100"/>
      <c r="B381" s="29"/>
      <c r="C381" s="29"/>
      <c r="D381" s="29"/>
      <c r="E381" s="25"/>
      <c r="F381" s="25"/>
      <c r="G381" s="25"/>
      <c r="H381" s="25"/>
      <c r="I381" s="29"/>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row>
    <row r="382" spans="1:46" s="2" customFormat="1" ht="12.75">
      <c r="A382" s="100"/>
      <c r="B382" s="29"/>
      <c r="C382" s="29"/>
      <c r="D382" s="29"/>
      <c r="E382" s="25"/>
      <c r="F382" s="25"/>
      <c r="G382" s="25"/>
      <c r="H382" s="25"/>
      <c r="I382" s="29"/>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row>
    <row r="383" spans="1:46" s="2" customFormat="1" ht="12.75">
      <c r="A383" s="100"/>
      <c r="B383" s="29"/>
      <c r="C383" s="29"/>
      <c r="D383" s="29"/>
      <c r="E383" s="25"/>
      <c r="F383" s="25"/>
      <c r="G383" s="25"/>
      <c r="H383" s="25"/>
      <c r="I383" s="29"/>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row>
    <row r="384" spans="1:46" s="2" customFormat="1" ht="12.75">
      <c r="A384" s="100"/>
      <c r="B384" s="29"/>
      <c r="C384" s="29"/>
      <c r="D384" s="29"/>
      <c r="E384" s="25"/>
      <c r="F384" s="25"/>
      <c r="G384" s="25"/>
      <c r="H384" s="25"/>
      <c r="I384" s="29"/>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row>
    <row r="385" spans="1:46" s="2" customFormat="1" ht="12.75">
      <c r="A385" s="100"/>
      <c r="B385" s="29"/>
      <c r="C385" s="29"/>
      <c r="D385" s="29"/>
      <c r="E385" s="25"/>
      <c r="F385" s="25"/>
      <c r="G385" s="25"/>
      <c r="H385" s="25"/>
      <c r="I385" s="29"/>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row>
    <row r="386" spans="1:46" s="2" customFormat="1" ht="12.75">
      <c r="A386" s="100"/>
      <c r="B386" s="29"/>
      <c r="C386" s="29"/>
      <c r="D386" s="29"/>
      <c r="E386" s="25"/>
      <c r="F386" s="25"/>
      <c r="G386" s="25"/>
      <c r="H386" s="25"/>
      <c r="I386" s="29"/>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row>
    <row r="387" spans="1:46" s="2" customFormat="1" ht="12.75">
      <c r="A387" s="100"/>
      <c r="B387" s="29"/>
      <c r="C387" s="29"/>
      <c r="D387" s="29"/>
      <c r="E387" s="25"/>
      <c r="F387" s="25"/>
      <c r="G387" s="25"/>
      <c r="H387" s="25"/>
      <c r="I387" s="29"/>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row>
    <row r="388" spans="1:46" s="2" customFormat="1" ht="12.75">
      <c r="A388" s="100"/>
      <c r="B388" s="29"/>
      <c r="C388" s="29"/>
      <c r="D388" s="29"/>
      <c r="E388" s="25"/>
      <c r="F388" s="25"/>
      <c r="G388" s="25"/>
      <c r="H388" s="25"/>
      <c r="I388" s="29"/>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row>
    <row r="389" spans="1:46" s="2" customFormat="1" ht="12.75">
      <c r="A389" s="100"/>
      <c r="B389" s="29"/>
      <c r="C389" s="29"/>
      <c r="D389" s="29"/>
      <c r="E389" s="25"/>
      <c r="F389" s="25"/>
      <c r="G389" s="25"/>
      <c r="H389" s="25"/>
      <c r="I389" s="29"/>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row>
    <row r="390" spans="1:46" s="2" customFormat="1" ht="12.75">
      <c r="A390" s="100"/>
      <c r="B390" s="29"/>
      <c r="C390" s="29"/>
      <c r="D390" s="29"/>
      <c r="E390" s="25"/>
      <c r="F390" s="25"/>
      <c r="G390" s="25"/>
      <c r="H390" s="25"/>
      <c r="I390" s="29"/>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row>
    <row r="391" spans="1:46" s="2" customFormat="1" ht="12.75">
      <c r="A391" s="100"/>
      <c r="B391" s="29"/>
      <c r="C391" s="29"/>
      <c r="D391" s="29"/>
      <c r="E391" s="25"/>
      <c r="F391" s="25"/>
      <c r="G391" s="25"/>
      <c r="H391" s="25"/>
      <c r="I391" s="29"/>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row>
    <row r="392" spans="1:46" s="2" customFormat="1" ht="12.75">
      <c r="A392" s="100"/>
      <c r="B392" s="29"/>
      <c r="C392" s="29"/>
      <c r="D392" s="29"/>
      <c r="E392" s="25"/>
      <c r="F392" s="25"/>
      <c r="G392" s="25"/>
      <c r="H392" s="25"/>
      <c r="I392" s="29"/>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row>
    <row r="393" spans="1:46" s="2" customFormat="1" ht="12.75">
      <c r="A393" s="100"/>
      <c r="B393" s="29"/>
      <c r="C393" s="29"/>
      <c r="D393" s="29"/>
      <c r="E393" s="25"/>
      <c r="F393" s="25"/>
      <c r="G393" s="25"/>
      <c r="H393" s="25"/>
      <c r="I393" s="29"/>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row>
    <row r="394" spans="1:46" s="2" customFormat="1" ht="12.75">
      <c r="A394" s="100"/>
      <c r="B394" s="29"/>
      <c r="C394" s="29"/>
      <c r="D394" s="29"/>
      <c r="E394" s="25"/>
      <c r="F394" s="25"/>
      <c r="G394" s="25"/>
      <c r="H394" s="25"/>
      <c r="I394" s="29"/>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row>
    <row r="395" spans="1:46" s="2" customFormat="1" ht="12.75">
      <c r="A395" s="100"/>
      <c r="B395" s="29"/>
      <c r="C395" s="29"/>
      <c r="D395" s="29"/>
      <c r="E395" s="25"/>
      <c r="F395" s="25"/>
      <c r="G395" s="25"/>
      <c r="H395" s="25"/>
      <c r="I395" s="29"/>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row>
    <row r="396" spans="1:46" s="2" customFormat="1" ht="12.75">
      <c r="A396" s="100"/>
      <c r="B396" s="29"/>
      <c r="C396" s="29"/>
      <c r="D396" s="29"/>
      <c r="E396" s="25"/>
      <c r="F396" s="25"/>
      <c r="G396" s="25"/>
      <c r="H396" s="25"/>
      <c r="I396" s="29"/>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row>
    <row r="397" spans="1:46" s="2" customFormat="1" ht="12.75">
      <c r="A397" s="100"/>
      <c r="B397" s="29"/>
      <c r="C397" s="29"/>
      <c r="D397" s="29"/>
      <c r="E397" s="25"/>
      <c r="F397" s="25"/>
      <c r="G397" s="25"/>
      <c r="H397" s="25"/>
      <c r="I397" s="29"/>
      <c r="J397" s="25"/>
      <c r="K397" s="25"/>
      <c r="L397" s="25" t="s">
        <v>175</v>
      </c>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row>
    <row r="398" spans="1:46" s="2" customFormat="1" ht="12.75">
      <c r="A398" s="100"/>
      <c r="B398" s="29"/>
      <c r="C398" s="29"/>
      <c r="D398" s="29"/>
      <c r="E398" s="25"/>
      <c r="F398" s="25"/>
      <c r="G398" s="25"/>
      <c r="H398" s="25"/>
      <c r="I398" s="29"/>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row>
    <row r="399" spans="1:46" s="2" customFormat="1" ht="12.75">
      <c r="A399" s="100"/>
      <c r="B399" s="29"/>
      <c r="C399" s="29"/>
      <c r="D399" s="29"/>
      <c r="E399" s="25"/>
      <c r="F399" s="25"/>
      <c r="G399" s="25"/>
      <c r="H399" s="25"/>
      <c r="I399" s="29"/>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row>
    <row r="400" spans="1:46" s="2" customFormat="1" ht="12.75">
      <c r="A400" s="100"/>
      <c r="B400" s="29"/>
      <c r="C400" s="29"/>
      <c r="D400" s="29"/>
      <c r="E400" s="25"/>
      <c r="F400" s="25"/>
      <c r="G400" s="25"/>
      <c r="H400" s="25"/>
      <c r="I400" s="29"/>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row>
    <row r="401" spans="1:46" s="2" customFormat="1" ht="12.75">
      <c r="A401" s="99" t="s">
        <v>90</v>
      </c>
      <c r="B401" s="27" t="s">
        <v>35</v>
      </c>
      <c r="C401" s="27"/>
      <c r="D401" s="29"/>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row>
    <row r="402" spans="1:46" s="2" customFormat="1" ht="12.75">
      <c r="A402" s="100"/>
      <c r="B402" s="27"/>
      <c r="C402" s="27"/>
      <c r="D402" s="29"/>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row>
    <row r="403" spans="1:46" s="2" customFormat="1" ht="12.75">
      <c r="A403" s="99"/>
      <c r="B403" s="27"/>
      <c r="C403" s="27"/>
      <c r="D403" s="29"/>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row>
    <row r="404" spans="1:46" s="2" customFormat="1" ht="12.75">
      <c r="A404" s="99"/>
      <c r="B404" s="29"/>
      <c r="C404" s="29"/>
      <c r="D404" s="29"/>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row>
    <row r="405" spans="1:46" s="2" customFormat="1" ht="12.75">
      <c r="A405" s="99" t="s">
        <v>91</v>
      </c>
      <c r="B405" s="27" t="s">
        <v>41</v>
      </c>
      <c r="C405" s="27"/>
      <c r="D405" s="29"/>
      <c r="E405" s="25"/>
      <c r="F405" s="25"/>
      <c r="G405" s="25"/>
      <c r="H405" s="25"/>
      <c r="I405" s="29"/>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row>
    <row r="406" spans="1:46" s="2" customFormat="1" ht="12.75">
      <c r="A406" s="100"/>
      <c r="B406" s="29"/>
      <c r="C406" s="29"/>
      <c r="D406" s="29"/>
      <c r="E406" s="30"/>
      <c r="F406" s="30"/>
      <c r="G406" s="192" t="s">
        <v>57</v>
      </c>
      <c r="H406" s="43"/>
      <c r="I406" s="120" t="s">
        <v>259</v>
      </c>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row>
    <row r="407" spans="1:46" s="2" customFormat="1" ht="12.75">
      <c r="A407" s="99"/>
      <c r="B407" s="29"/>
      <c r="C407" s="29"/>
      <c r="D407" s="29"/>
      <c r="E407" s="32"/>
      <c r="F407" s="32"/>
      <c r="G407" s="93" t="s">
        <v>250</v>
      </c>
      <c r="H407" s="93"/>
      <c r="I407" s="93" t="s">
        <v>250</v>
      </c>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row>
    <row r="408" spans="1:46" s="2" customFormat="1" ht="12.75">
      <c r="A408" s="100"/>
      <c r="B408" s="29"/>
      <c r="C408" s="29"/>
      <c r="D408" s="29"/>
      <c r="E408" s="32"/>
      <c r="F408" s="32"/>
      <c r="G408" s="191"/>
      <c r="H408" s="32"/>
      <c r="I408" s="32"/>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row>
    <row r="409" spans="1:46" s="2" customFormat="1" ht="12.75">
      <c r="A409" s="100"/>
      <c r="B409" s="29" t="s">
        <v>245</v>
      </c>
      <c r="C409" s="29"/>
      <c r="D409" s="29"/>
      <c r="E409" s="31"/>
      <c r="F409" s="31"/>
      <c r="G409" s="3">
        <f>PL!D40</f>
        <v>415113.31000000006</v>
      </c>
      <c r="H409" s="31"/>
      <c r="I409" s="31">
        <f>PL!G40</f>
        <v>2150216.3100000005</v>
      </c>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row>
    <row r="410" spans="1:46" s="2" customFormat="1" ht="12.75">
      <c r="A410" s="100"/>
      <c r="B410" s="29"/>
      <c r="C410" s="29"/>
      <c r="D410" s="29"/>
      <c r="E410" s="31"/>
      <c r="F410" s="31"/>
      <c r="G410" s="3"/>
      <c r="H410" s="31"/>
      <c r="I410" s="31"/>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row>
    <row r="411" spans="1:46" s="2" customFormat="1" ht="12.75">
      <c r="A411" s="100"/>
      <c r="B411" s="29" t="s">
        <v>51</v>
      </c>
      <c r="C411" s="29"/>
      <c r="D411" s="29"/>
      <c r="E411" s="31"/>
      <c r="F411" s="31"/>
      <c r="G411" s="3">
        <v>316021311</v>
      </c>
      <c r="H411" s="3"/>
      <c r="I411" s="3">
        <v>299860327</v>
      </c>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row>
    <row r="412" spans="1:46" s="2" customFormat="1" ht="12.75">
      <c r="A412" s="100"/>
      <c r="B412" s="29"/>
      <c r="C412" s="29"/>
      <c r="D412" s="29"/>
      <c r="E412" s="25"/>
      <c r="F412" s="25"/>
      <c r="G412" s="3"/>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row>
    <row r="413" spans="1:46" s="2" customFormat="1" ht="12.75">
      <c r="A413" s="100"/>
      <c r="B413" s="29" t="s">
        <v>97</v>
      </c>
      <c r="C413" s="29"/>
      <c r="D413" s="29"/>
      <c r="E413" s="25"/>
      <c r="F413" s="25"/>
      <c r="G413" s="3"/>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row>
    <row r="414" spans="1:46" s="2" customFormat="1" ht="12.75">
      <c r="A414" s="100"/>
      <c r="B414" s="33" t="s">
        <v>45</v>
      </c>
      <c r="C414" s="33"/>
      <c r="D414" s="33"/>
      <c r="E414" s="46"/>
      <c r="F414" s="46"/>
      <c r="G414" s="46">
        <f>G409/G411*100</f>
        <v>0.13135611287936214</v>
      </c>
      <c r="H414" s="46"/>
      <c r="I414" s="46">
        <f>I409/I411*100</f>
        <v>0.7170726222812398</v>
      </c>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row>
    <row r="415" spans="1:46" s="2" customFormat="1" ht="13.5" thickBot="1">
      <c r="A415" s="100"/>
      <c r="B415" s="33" t="s">
        <v>44</v>
      </c>
      <c r="C415" s="33"/>
      <c r="D415" s="29" t="s">
        <v>175</v>
      </c>
      <c r="E415" s="30"/>
      <c r="F415" s="30"/>
      <c r="G415" s="97">
        <f>G414</f>
        <v>0.13135611287936214</v>
      </c>
      <c r="H415" s="114"/>
      <c r="I415" s="97">
        <f>I414</f>
        <v>0.7170726222812398</v>
      </c>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row>
    <row r="416" spans="1:46" s="2" customFormat="1" ht="12.75">
      <c r="A416" s="100"/>
      <c r="B416" s="24"/>
      <c r="C416" s="24"/>
      <c r="D416" s="24"/>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row>
    <row r="417" spans="1:46" s="2" customFormat="1" ht="12.75">
      <c r="A417" s="99" t="s">
        <v>160</v>
      </c>
      <c r="B417" s="27" t="s">
        <v>120</v>
      </c>
      <c r="C417" s="27"/>
      <c r="D417" s="29"/>
      <c r="E417" s="25"/>
      <c r="F417" s="25"/>
      <c r="G417" s="25"/>
      <c r="H417" s="25"/>
      <c r="I417" s="29"/>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row>
    <row r="418" spans="1:46" s="2" customFormat="1" ht="12.75">
      <c r="A418" s="100"/>
      <c r="B418" s="29"/>
      <c r="C418" s="29"/>
      <c r="D418" s="29"/>
      <c r="E418" s="25"/>
      <c r="F418" s="25"/>
      <c r="G418" s="25"/>
      <c r="H418" s="25"/>
      <c r="I418" s="29"/>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row>
    <row r="419" spans="1:46" s="2" customFormat="1" ht="12.75">
      <c r="A419" s="99"/>
      <c r="B419" s="29"/>
      <c r="C419" s="29"/>
      <c r="D419" s="29"/>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row>
    <row r="420" spans="1:46" s="2" customFormat="1" ht="12.75">
      <c r="A420" s="99"/>
      <c r="B420" s="29"/>
      <c r="C420" s="29"/>
      <c r="D420" s="29"/>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row>
    <row r="421" spans="1:46" s="2" customFormat="1" ht="12.75">
      <c r="A421" s="100"/>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row>
    <row r="422" spans="1:46" s="2" customFormat="1" ht="12.75">
      <c r="A422" s="18"/>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row>
    <row r="423" spans="1:46" s="2" customFormat="1" ht="12.75">
      <c r="A423" s="18"/>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row>
    <row r="424" spans="1:46" s="2" customFormat="1" ht="12.75">
      <c r="A424" s="18"/>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row>
    <row r="425" spans="1:46" s="2" customFormat="1" ht="12.75">
      <c r="A425" s="18"/>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row>
    <row r="426" spans="1:46" s="2" customFormat="1" ht="12.75">
      <c r="A426" s="18"/>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row>
    <row r="427" spans="1:46" s="2" customFormat="1" ht="12.75">
      <c r="A427" s="18"/>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row>
    <row r="428" spans="1:46" s="2" customFormat="1" ht="12.75">
      <c r="A428" s="18"/>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row>
    <row r="429" spans="1:46" s="2" customFormat="1" ht="12.75">
      <c r="A429" s="18"/>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row>
    <row r="430" spans="1:46" s="2" customFormat="1" ht="12.75">
      <c r="A430" s="18"/>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row>
    <row r="431" spans="1:46" s="2" customFormat="1" ht="12.75">
      <c r="A431" s="18"/>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row>
    <row r="432" spans="1:46" s="2" customFormat="1" ht="12.75">
      <c r="A432" s="18"/>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row>
    <row r="433" spans="1:46" s="2" customFormat="1" ht="12.75">
      <c r="A433" s="18"/>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row>
    <row r="434" spans="1:46" s="2" customFormat="1" ht="12.75">
      <c r="A434" s="18"/>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row>
    <row r="435" spans="1:46" s="2" customFormat="1" ht="12.75">
      <c r="A435" s="18"/>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row>
    <row r="436" spans="1:46" s="2" customFormat="1" ht="12.75">
      <c r="A436" s="18"/>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row>
    <row r="437" spans="1:46" s="2" customFormat="1" ht="12.75">
      <c r="A437" s="18"/>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row>
    <row r="438" spans="1:46" s="2" customFormat="1" ht="12.75">
      <c r="A438" s="18"/>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row>
    <row r="439" spans="1:46" s="2" customFormat="1" ht="12.75">
      <c r="A439" s="18"/>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row>
    <row r="440" spans="1:46" s="2" customFormat="1" ht="12.75">
      <c r="A440" s="18"/>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row>
    <row r="441" spans="1:46" s="2" customFormat="1" ht="12.75">
      <c r="A441" s="18"/>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row>
    <row r="442" spans="1:46" s="2" customFormat="1" ht="12.75">
      <c r="A442" s="18"/>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row>
    <row r="443" spans="1:46" s="2" customFormat="1" ht="12.75">
      <c r="A443" s="18"/>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row>
    <row r="444" spans="1:46" s="2" customFormat="1" ht="12.75">
      <c r="A444" s="18"/>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row>
    <row r="445" spans="1:46" s="2" customFormat="1" ht="12.75">
      <c r="A445" s="18"/>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row>
    <row r="446" spans="1:46" s="2" customFormat="1" ht="12.75">
      <c r="A446" s="18"/>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row>
    <row r="447" spans="1:46" s="2" customFormat="1" ht="12.75">
      <c r="A447" s="18"/>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row>
    <row r="448" spans="1:46" s="2" customFormat="1" ht="12.75">
      <c r="A448" s="18"/>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row>
    <row r="449" spans="1:46" s="2" customFormat="1" ht="12.75">
      <c r="A449" s="18"/>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row>
    <row r="450" spans="1:46" s="2" customFormat="1" ht="12.75">
      <c r="A450" s="18"/>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row>
    <row r="451" spans="1:46" s="2" customFormat="1" ht="12.75">
      <c r="A451" s="18"/>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row>
    <row r="452" spans="1:46" s="2" customFormat="1" ht="12.75">
      <c r="A452" s="18"/>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row>
    <row r="453" spans="1:46" s="2" customFormat="1" ht="12.75">
      <c r="A453" s="18"/>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row>
    <row r="454" spans="1:46" s="2" customFormat="1" ht="12.75">
      <c r="A454" s="18"/>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row>
    <row r="455" spans="1:46" s="2" customFormat="1" ht="12.75">
      <c r="A455" s="18"/>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row>
    <row r="456" spans="1:46" s="2" customFormat="1" ht="12.75">
      <c r="A456" s="18"/>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row>
    <row r="457" spans="1:46" s="2" customFormat="1" ht="12.75">
      <c r="A457" s="18"/>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row>
    <row r="458" spans="1:46" s="2" customFormat="1" ht="12.75">
      <c r="A458" s="18"/>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row>
    <row r="459" spans="1:46" s="2" customFormat="1" ht="12.75">
      <c r="A459" s="18"/>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row>
    <row r="460" spans="1:46" s="2" customFormat="1" ht="12.75">
      <c r="A460" s="18"/>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row>
    <row r="461" spans="1:46" s="2" customFormat="1" ht="12.75">
      <c r="A461" s="18"/>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row>
    <row r="462" spans="1:46" s="2" customFormat="1" ht="12.75">
      <c r="A462" s="18"/>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row>
    <row r="463" spans="1:46" s="2" customFormat="1" ht="12.75">
      <c r="A463" s="18"/>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row>
    <row r="464" spans="1:46" s="2" customFormat="1" ht="12.75">
      <c r="A464" s="18"/>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row>
    <row r="465" spans="1:46" s="2" customFormat="1" ht="12.75">
      <c r="A465" s="18"/>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row>
    <row r="466" spans="1:46" s="2" customFormat="1" ht="12.75">
      <c r="A466" s="18"/>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row>
    <row r="467" spans="1:46" s="2" customFormat="1" ht="12.75">
      <c r="A467" s="18"/>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row>
    <row r="468" spans="1:46" s="2" customFormat="1" ht="12.75">
      <c r="A468" s="18"/>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row>
    <row r="469" spans="1:46" s="2" customFormat="1" ht="12.75">
      <c r="A469" s="18"/>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row>
    <row r="470" spans="1:46" s="2" customFormat="1" ht="12.75">
      <c r="A470" s="18"/>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row>
    <row r="471" spans="1:46" s="2" customFormat="1" ht="12.75">
      <c r="A471" s="18"/>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row>
    <row r="472" spans="1:46" s="2" customFormat="1" ht="12.75">
      <c r="A472" s="18"/>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row>
    <row r="473" spans="1:46" s="2" customFormat="1" ht="12.75">
      <c r="A473" s="18"/>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row>
    <row r="474" spans="1:46" s="2" customFormat="1" ht="12.75">
      <c r="A474" s="18"/>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row>
    <row r="475" spans="1:46" s="2" customFormat="1" ht="12.75">
      <c r="A475" s="18"/>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row>
    <row r="476" spans="1:46" s="2" customFormat="1" ht="12.75">
      <c r="A476" s="18"/>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row>
    <row r="477" spans="1:46" s="2" customFormat="1" ht="12.75">
      <c r="A477" s="18"/>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row>
    <row r="478" spans="1:46" s="2" customFormat="1" ht="12.75">
      <c r="A478" s="18"/>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row>
    <row r="479" spans="1:46" s="2" customFormat="1" ht="12.75">
      <c r="A479" s="18"/>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row>
    <row r="480" spans="1:46" s="2" customFormat="1" ht="12.75">
      <c r="A480" s="18"/>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row>
    <row r="481" spans="1:46" s="2" customFormat="1" ht="12.75">
      <c r="A481" s="18"/>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row>
    <row r="482" spans="1:46" s="2" customFormat="1" ht="12.75">
      <c r="A482" s="18"/>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row>
    <row r="483" spans="1:46" s="2" customFormat="1" ht="12.75">
      <c r="A483" s="18"/>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row>
    <row r="484" spans="1:46" s="2" customFormat="1" ht="12.75">
      <c r="A484" s="18"/>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row>
    <row r="485" spans="1:46" s="2" customFormat="1" ht="12.75">
      <c r="A485" s="18"/>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row>
    <row r="486" spans="1:46" s="2" customFormat="1" ht="12.75">
      <c r="A486" s="18"/>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row>
    <row r="487" spans="1:46" s="2" customFormat="1" ht="12.75">
      <c r="A487" s="18"/>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row>
    <row r="488" spans="1:46" s="2" customFormat="1" ht="12.75">
      <c r="A488" s="18"/>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row>
    <row r="489" spans="1:46" s="2" customFormat="1" ht="12.75">
      <c r="A489" s="18"/>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row>
    <row r="490" spans="1:46" s="2" customFormat="1" ht="12.75">
      <c r="A490" s="18"/>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row>
    <row r="491" spans="1:46" s="2" customFormat="1" ht="12.75">
      <c r="A491" s="18"/>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row>
    <row r="492" spans="1:46" s="2" customFormat="1" ht="12.75">
      <c r="A492" s="18"/>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row>
    <row r="493" spans="1:46" s="2" customFormat="1" ht="12.75">
      <c r="A493" s="18"/>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row>
    <row r="494" spans="1:46" s="2" customFormat="1" ht="12.75">
      <c r="A494" s="18"/>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row>
    <row r="495" spans="1:46" s="2" customFormat="1" ht="12.75">
      <c r="A495" s="18"/>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row>
    <row r="496" spans="1:46" s="2" customFormat="1" ht="12.75">
      <c r="A496" s="18"/>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row>
    <row r="497" spans="1:46" s="2" customFormat="1" ht="12.75">
      <c r="A497" s="18"/>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row>
    <row r="498" spans="1:46" s="2" customFormat="1" ht="12.75">
      <c r="A498" s="18"/>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row>
    <row r="499" spans="1:46" s="2" customFormat="1" ht="12.75">
      <c r="A499" s="18"/>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row>
    <row r="500" spans="1:46" s="2" customFormat="1" ht="12.75">
      <c r="A500" s="18"/>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row>
    <row r="501" spans="1:46" s="2" customFormat="1" ht="12.75">
      <c r="A501" s="18"/>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row>
    <row r="502" spans="1:46" s="2" customFormat="1" ht="12.75">
      <c r="A502" s="18"/>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row>
    <row r="503" spans="1:46" s="2" customFormat="1" ht="12.75">
      <c r="A503" s="18"/>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row>
    <row r="504" spans="1:46" s="2" customFormat="1" ht="12.75">
      <c r="A504" s="18"/>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row>
    <row r="505" spans="1:46" s="2" customFormat="1" ht="12.75">
      <c r="A505" s="18"/>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row>
    <row r="506" spans="1:46" s="2" customFormat="1" ht="12.75">
      <c r="A506" s="18"/>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row>
    <row r="507" spans="1:46" s="2" customFormat="1" ht="12.75">
      <c r="A507" s="18"/>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row>
    <row r="508" spans="1:46" s="2" customFormat="1" ht="12.75">
      <c r="A508" s="18"/>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row>
    <row r="509" spans="1:46" s="2" customFormat="1" ht="12.75">
      <c r="A509" s="18"/>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row>
    <row r="510" spans="1:46" s="2" customFormat="1" ht="12.75">
      <c r="A510" s="18"/>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row>
    <row r="511" spans="1:46" s="2" customFormat="1" ht="12.75">
      <c r="A511" s="18"/>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row>
    <row r="512" spans="1:46" s="2" customFormat="1" ht="12.75">
      <c r="A512" s="18"/>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row>
    <row r="513" spans="1:46" s="2" customFormat="1" ht="12.75">
      <c r="A513" s="18"/>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row>
    <row r="514" spans="1:46" s="2" customFormat="1" ht="12.75">
      <c r="A514" s="18"/>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row>
    <row r="515" spans="1:46" s="2" customFormat="1" ht="12.75">
      <c r="A515" s="18"/>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row>
    <row r="516" spans="1:46" s="2" customFormat="1" ht="12.75">
      <c r="A516" s="18"/>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row>
    <row r="517" spans="1:46" s="2" customFormat="1" ht="12.75">
      <c r="A517" s="18"/>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row>
    <row r="518" spans="1:46" s="2" customFormat="1" ht="12.75">
      <c r="A518" s="18"/>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row>
    <row r="519" spans="1:46" s="2" customFormat="1" ht="12.75">
      <c r="A519" s="18"/>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row>
    <row r="520" spans="1:46" s="2" customFormat="1" ht="12.75">
      <c r="A520" s="18"/>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row>
    <row r="521" spans="1:46" s="2" customFormat="1" ht="12.75">
      <c r="A521" s="18"/>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row>
    <row r="522" spans="1:46" s="2" customFormat="1" ht="12.75">
      <c r="A522" s="18"/>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row>
    <row r="523" spans="1:46" s="2" customFormat="1" ht="12.75">
      <c r="A523" s="18"/>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row>
    <row r="524" spans="1:46" s="2" customFormat="1" ht="12.75">
      <c r="A524" s="18"/>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row>
    <row r="525" spans="1:46" s="2" customFormat="1" ht="12.75">
      <c r="A525" s="18"/>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row>
    <row r="526" spans="1:46" s="2" customFormat="1" ht="12.75">
      <c r="A526" s="18"/>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row>
    <row r="527" spans="1:46" s="2" customFormat="1" ht="12.75">
      <c r="A527" s="18"/>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row>
    <row r="528" spans="1:46" s="2" customFormat="1" ht="12.75">
      <c r="A528" s="18"/>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row>
    <row r="529" spans="1:46" s="2" customFormat="1" ht="12.75">
      <c r="A529" s="18"/>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row>
    <row r="530" spans="1:46" s="2" customFormat="1" ht="12.75">
      <c r="A530" s="18"/>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row>
    <row r="531" spans="1:46" s="2" customFormat="1" ht="12.75">
      <c r="A531" s="18"/>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row>
    <row r="532" spans="1:46" s="2" customFormat="1" ht="12.75">
      <c r="A532" s="18"/>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row>
    <row r="533" spans="1:46" s="2" customFormat="1" ht="12.75">
      <c r="A533" s="18"/>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row>
    <row r="534" spans="1:46" s="2" customFormat="1" ht="12.75">
      <c r="A534" s="18"/>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row>
    <row r="535" spans="1:46" s="2" customFormat="1" ht="12.75">
      <c r="A535" s="18"/>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row>
    <row r="536" spans="1:46" s="2" customFormat="1" ht="12.75">
      <c r="A536" s="18"/>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row>
    <row r="537" spans="1:46" s="2" customFormat="1" ht="12.75">
      <c r="A537" s="18"/>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row>
    <row r="538" spans="1:46" s="2" customFormat="1" ht="12.75">
      <c r="A538" s="18"/>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row>
    <row r="539" spans="1:46" s="2" customFormat="1" ht="12.75">
      <c r="A539" s="18"/>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row>
    <row r="540" spans="1:46" s="2" customFormat="1" ht="12.75">
      <c r="A540" s="18"/>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row>
    <row r="541" spans="1:46" s="2" customFormat="1" ht="12.75">
      <c r="A541" s="18"/>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row>
    <row r="542" spans="1:46" s="2" customFormat="1" ht="12.75">
      <c r="A542" s="18"/>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row>
    <row r="543" spans="1:46" s="2" customFormat="1" ht="12.75">
      <c r="A543" s="18"/>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row>
    <row r="544" spans="1:46" s="2" customFormat="1" ht="12.75">
      <c r="A544" s="18"/>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row>
    <row r="545" spans="1:46" s="2" customFormat="1" ht="12.75">
      <c r="A545" s="18"/>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row>
    <row r="546" spans="1:46" s="2" customFormat="1" ht="12.75">
      <c r="A546" s="18"/>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row>
    <row r="547" spans="1:46" s="2" customFormat="1" ht="12.75">
      <c r="A547" s="18"/>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row>
    <row r="548" spans="1:46" s="2" customFormat="1" ht="12.75">
      <c r="A548" s="18"/>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row>
    <row r="549" spans="1:46" s="2" customFormat="1" ht="12.75">
      <c r="A549" s="18"/>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row>
    <row r="550" spans="1:46" s="2" customFormat="1" ht="12.75">
      <c r="A550" s="18"/>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row>
    <row r="551" spans="1:46" s="2" customFormat="1" ht="12.75">
      <c r="A551" s="18"/>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row>
    <row r="552" spans="1:46" s="2" customFormat="1" ht="12.75">
      <c r="A552" s="18"/>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row>
    <row r="553" spans="1:46" s="2" customFormat="1" ht="12.75">
      <c r="A553" s="18"/>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row>
    <row r="554" spans="1:46" s="2" customFormat="1" ht="12.75">
      <c r="A554" s="18"/>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row>
    <row r="555" spans="1:46" s="2" customFormat="1" ht="12.75">
      <c r="A555" s="18"/>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row>
    <row r="556" spans="1:46" s="2" customFormat="1" ht="12.75">
      <c r="A556" s="18"/>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row>
    <row r="557" spans="1:46" s="2" customFormat="1" ht="12.75">
      <c r="A557" s="18"/>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row>
    <row r="558" spans="1:46" s="2" customFormat="1" ht="12.75">
      <c r="A558" s="18"/>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row>
    <row r="559" spans="1:46" s="2" customFormat="1" ht="12.75">
      <c r="A559" s="18"/>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row>
    <row r="560" spans="1:46" s="2" customFormat="1" ht="12.75">
      <c r="A560" s="18"/>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row>
    <row r="561" spans="1:46" s="2" customFormat="1" ht="12.75">
      <c r="A561" s="18"/>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row>
    <row r="562" spans="1:46" s="2" customFormat="1" ht="12.75">
      <c r="A562" s="18"/>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row>
    <row r="563" spans="1:46" s="2" customFormat="1" ht="12.75">
      <c r="A563" s="18"/>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row>
    <row r="564" spans="1:46" s="2" customFormat="1" ht="12.75">
      <c r="A564" s="18"/>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row>
    <row r="565" spans="1:46" s="2" customFormat="1" ht="12.75">
      <c r="A565" s="18"/>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row>
    <row r="566" spans="1:46" s="2" customFormat="1" ht="12.75">
      <c r="A566" s="18"/>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row>
    <row r="567" spans="1:46" s="2" customFormat="1" ht="12.75">
      <c r="A567" s="18"/>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row>
    <row r="568" spans="1:46" s="2" customFormat="1" ht="12.75">
      <c r="A568" s="18"/>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row>
    <row r="569" spans="1:46" s="2" customFormat="1" ht="12.75">
      <c r="A569" s="18"/>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row>
    <row r="570" spans="1:46" s="2" customFormat="1" ht="12.75">
      <c r="A570" s="18"/>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row>
    <row r="571" spans="1:46" s="2" customFormat="1" ht="12.75">
      <c r="A571" s="18"/>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row>
    <row r="572" spans="1:46" s="2" customFormat="1" ht="12.75">
      <c r="A572" s="18"/>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5"/>
      <c r="AN572" s="25"/>
      <c r="AO572" s="25"/>
      <c r="AP572" s="25"/>
      <c r="AQ572" s="25"/>
      <c r="AR572" s="25"/>
      <c r="AS572" s="25"/>
      <c r="AT572" s="25"/>
    </row>
    <row r="573" spans="1:46" s="2" customFormat="1" ht="12.75">
      <c r="A573" s="18"/>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row>
    <row r="574" spans="1:46" s="2" customFormat="1" ht="12.75">
      <c r="A574" s="18"/>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row>
    <row r="575" spans="1:46" s="2" customFormat="1" ht="12.75">
      <c r="A575" s="18"/>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row>
    <row r="576" spans="1:46" s="2" customFormat="1" ht="12.75">
      <c r="A576" s="18"/>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row>
    <row r="577" spans="1:46" s="2" customFormat="1" ht="12.75">
      <c r="A577" s="18"/>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row>
    <row r="578" spans="1:46" s="2" customFormat="1" ht="12.75">
      <c r="A578" s="18"/>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row>
    <row r="579" spans="1:46" s="2" customFormat="1" ht="12.75">
      <c r="A579" s="18"/>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row>
    <row r="580" spans="1:46" s="2" customFormat="1" ht="12.75">
      <c r="A580" s="18"/>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row>
    <row r="581" spans="1:46" s="2" customFormat="1" ht="12.75">
      <c r="A581" s="18"/>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row>
    <row r="582" spans="1:46" s="2" customFormat="1" ht="12.75">
      <c r="A582" s="18"/>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row>
    <row r="583" spans="1:46" s="2" customFormat="1" ht="12.75">
      <c r="A583" s="18"/>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row>
    <row r="584" spans="1:46" s="2" customFormat="1" ht="12.75">
      <c r="A584" s="18"/>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row>
    <row r="585" spans="1:46" s="2" customFormat="1" ht="12.75">
      <c r="A585" s="18"/>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row>
    <row r="586" spans="1:46" s="2" customFormat="1" ht="12.75">
      <c r="A586" s="18"/>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row>
    <row r="587" spans="1:46" s="2" customFormat="1" ht="12.75">
      <c r="A587" s="18"/>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c r="AM587" s="25"/>
      <c r="AN587" s="25"/>
      <c r="AO587" s="25"/>
      <c r="AP587" s="25"/>
      <c r="AQ587" s="25"/>
      <c r="AR587" s="25"/>
      <c r="AS587" s="25"/>
      <c r="AT587" s="25"/>
    </row>
    <row r="588" spans="1:46" s="2" customFormat="1" ht="12.75">
      <c r="A588" s="18"/>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row>
    <row r="589" s="2" customFormat="1" ht="12.75">
      <c r="A589" s="18"/>
    </row>
    <row r="590" s="2" customFormat="1" ht="12.75">
      <c r="A590" s="18"/>
    </row>
    <row r="591" s="2" customFormat="1" ht="12.75">
      <c r="A591" s="18"/>
    </row>
    <row r="592" s="2" customFormat="1" ht="12.75">
      <c r="A592" s="18"/>
    </row>
    <row r="593" s="2" customFormat="1" ht="12.75">
      <c r="A593" s="18"/>
    </row>
    <row r="594" s="2" customFormat="1" ht="12.75">
      <c r="A594" s="18"/>
    </row>
    <row r="595" s="2" customFormat="1" ht="12.75">
      <c r="A595" s="18"/>
    </row>
    <row r="596" s="2" customFormat="1" ht="12.75">
      <c r="A596" s="18"/>
    </row>
    <row r="597" s="2" customFormat="1" ht="12.75">
      <c r="A597" s="18"/>
    </row>
    <row r="598" s="2" customFormat="1" ht="12.75">
      <c r="A598" s="18"/>
    </row>
    <row r="599" s="2" customFormat="1" ht="12.75">
      <c r="A599" s="18"/>
    </row>
    <row r="600" s="2" customFormat="1" ht="12.75">
      <c r="A600" s="18"/>
    </row>
    <row r="601" s="2" customFormat="1" ht="12.75">
      <c r="A601" s="18"/>
    </row>
    <row r="602" s="2" customFormat="1" ht="12.75">
      <c r="A602" s="18"/>
    </row>
    <row r="603" s="2" customFormat="1" ht="12.75">
      <c r="A603" s="18"/>
    </row>
    <row r="604" s="2" customFormat="1" ht="12.75">
      <c r="A604" s="18"/>
    </row>
    <row r="605" s="2" customFormat="1" ht="12.75">
      <c r="A605" s="18"/>
    </row>
    <row r="606" s="2" customFormat="1" ht="12.75">
      <c r="A606" s="18"/>
    </row>
    <row r="607" s="2" customFormat="1" ht="12.75">
      <c r="A607" s="18"/>
    </row>
    <row r="608" s="2" customFormat="1" ht="12.75">
      <c r="A608" s="18"/>
    </row>
    <row r="609" s="2" customFormat="1" ht="12.75">
      <c r="A609" s="18"/>
    </row>
    <row r="610" s="2" customFormat="1" ht="12.75">
      <c r="A610" s="18"/>
    </row>
    <row r="611" s="2" customFormat="1" ht="12.75">
      <c r="A611" s="18"/>
    </row>
    <row r="612" s="2" customFormat="1" ht="12.75">
      <c r="A612" s="18"/>
    </row>
    <row r="613" s="2" customFormat="1" ht="12.75">
      <c r="A613" s="18"/>
    </row>
    <row r="614" s="2" customFormat="1" ht="12.75">
      <c r="A614" s="18"/>
    </row>
    <row r="615" s="2" customFormat="1" ht="12.75">
      <c r="A615" s="18"/>
    </row>
    <row r="616" s="2" customFormat="1" ht="12.75">
      <c r="A616" s="18"/>
    </row>
    <row r="617" s="2" customFormat="1" ht="12.75">
      <c r="A617" s="18"/>
    </row>
    <row r="618" s="2" customFormat="1" ht="12.75">
      <c r="A618" s="18"/>
    </row>
    <row r="619" s="2" customFormat="1" ht="12.75">
      <c r="A619" s="18"/>
    </row>
    <row r="620" s="2" customFormat="1" ht="12.75">
      <c r="A620" s="18"/>
    </row>
    <row r="621" s="2" customFormat="1" ht="12.75">
      <c r="A621" s="18"/>
    </row>
    <row r="622" s="2" customFormat="1" ht="12.75">
      <c r="A622" s="18"/>
    </row>
    <row r="623" s="2" customFormat="1" ht="12.75">
      <c r="A623" s="18"/>
    </row>
    <row r="624" s="2" customFormat="1" ht="12.75">
      <c r="A624" s="18"/>
    </row>
    <row r="625" s="2" customFormat="1" ht="12.75">
      <c r="A625" s="18"/>
    </row>
    <row r="626" s="2" customFormat="1" ht="12.75">
      <c r="A626" s="18"/>
    </row>
    <row r="627" s="2" customFormat="1" ht="12.75">
      <c r="A627" s="18"/>
    </row>
    <row r="628" s="2" customFormat="1" ht="12.75">
      <c r="A628" s="18"/>
    </row>
    <row r="629" s="2" customFormat="1" ht="12.75">
      <c r="A629" s="18"/>
    </row>
    <row r="630" s="2" customFormat="1" ht="12.75">
      <c r="A630" s="18"/>
    </row>
    <row r="631" s="2" customFormat="1" ht="12.75">
      <c r="A631" s="18"/>
    </row>
    <row r="632" s="2" customFormat="1" ht="12.75">
      <c r="A632" s="18"/>
    </row>
    <row r="633" s="2" customFormat="1" ht="12.75">
      <c r="A633" s="18"/>
    </row>
    <row r="634" s="2" customFormat="1" ht="12.75">
      <c r="A634" s="18"/>
    </row>
    <row r="635" s="2" customFormat="1" ht="12.75">
      <c r="A635" s="18"/>
    </row>
    <row r="636" s="2" customFormat="1" ht="12.75">
      <c r="A636" s="18"/>
    </row>
    <row r="637" s="2" customFormat="1" ht="12.75">
      <c r="A637" s="18"/>
    </row>
    <row r="638" s="2" customFormat="1" ht="12.75">
      <c r="A638" s="18"/>
    </row>
    <row r="639" s="2" customFormat="1" ht="12.75">
      <c r="A639" s="18"/>
    </row>
    <row r="640" s="2" customFormat="1" ht="12.75">
      <c r="A640" s="18"/>
    </row>
    <row r="641" s="2" customFormat="1" ht="12.75">
      <c r="A641" s="18"/>
    </row>
    <row r="642" s="2" customFormat="1" ht="12.75">
      <c r="A642" s="18"/>
    </row>
    <row r="643" s="2" customFormat="1" ht="12.75">
      <c r="A643" s="18"/>
    </row>
    <row r="644" s="2" customFormat="1" ht="12.75">
      <c r="A644" s="18"/>
    </row>
    <row r="645" s="2" customFormat="1" ht="12.75">
      <c r="A645" s="18"/>
    </row>
    <row r="646" s="2" customFormat="1" ht="12.75">
      <c r="A646" s="18"/>
    </row>
    <row r="647" s="2" customFormat="1" ht="12.75">
      <c r="A647" s="18"/>
    </row>
    <row r="648" s="2" customFormat="1" ht="12.75">
      <c r="A648" s="18"/>
    </row>
    <row r="649" s="2" customFormat="1" ht="12.75">
      <c r="A649" s="18"/>
    </row>
    <row r="650" s="2" customFormat="1" ht="12.75">
      <c r="A650" s="18"/>
    </row>
    <row r="651" s="2" customFormat="1" ht="12.75">
      <c r="A651" s="18"/>
    </row>
    <row r="652" s="2" customFormat="1" ht="12.75">
      <c r="A652" s="18"/>
    </row>
    <row r="653" s="2" customFormat="1" ht="12.75">
      <c r="A653" s="18"/>
    </row>
    <row r="654" s="2" customFormat="1" ht="12.75">
      <c r="A654" s="18"/>
    </row>
    <row r="655" s="2" customFormat="1" ht="12.75">
      <c r="A655" s="18"/>
    </row>
    <row r="656" s="2" customFormat="1" ht="12.75">
      <c r="A656" s="18"/>
    </row>
    <row r="657" s="2" customFormat="1" ht="12.75">
      <c r="A657" s="18"/>
    </row>
    <row r="658" s="2" customFormat="1" ht="12.75">
      <c r="A658" s="18"/>
    </row>
    <row r="659" s="2" customFormat="1" ht="12.75">
      <c r="A659" s="18"/>
    </row>
    <row r="660" s="2" customFormat="1" ht="12.75">
      <c r="A660" s="18"/>
    </row>
    <row r="661" s="2" customFormat="1" ht="12.75">
      <c r="A661" s="18"/>
    </row>
    <row r="662" s="2" customFormat="1" ht="12.75">
      <c r="A662" s="18"/>
    </row>
    <row r="663" s="2" customFormat="1" ht="12.75">
      <c r="A663" s="18"/>
    </row>
    <row r="664" s="2" customFormat="1" ht="12.75">
      <c r="A664" s="18"/>
    </row>
    <row r="665" s="2" customFormat="1" ht="12.75">
      <c r="A665" s="18"/>
    </row>
    <row r="666" s="2" customFormat="1" ht="12.75">
      <c r="A666" s="18"/>
    </row>
    <row r="667" s="2" customFormat="1" ht="12.75">
      <c r="A667" s="18"/>
    </row>
    <row r="668" s="2" customFormat="1" ht="12.75">
      <c r="A668" s="18"/>
    </row>
    <row r="669" s="2" customFormat="1" ht="12.75">
      <c r="A669" s="18"/>
    </row>
    <row r="670" s="2" customFormat="1" ht="12.75">
      <c r="A670" s="18"/>
    </row>
    <row r="671" s="2" customFormat="1" ht="12.75">
      <c r="A671" s="18"/>
    </row>
    <row r="672" s="2" customFormat="1" ht="12.75">
      <c r="A672" s="18"/>
    </row>
    <row r="673" s="2" customFormat="1" ht="12.75">
      <c r="A673" s="18"/>
    </row>
    <row r="674" s="2" customFormat="1" ht="12.75">
      <c r="A674" s="18"/>
    </row>
    <row r="675" s="2" customFormat="1" ht="12.75">
      <c r="A675" s="18"/>
    </row>
    <row r="676" s="2" customFormat="1" ht="12.75">
      <c r="A676" s="18"/>
    </row>
    <row r="677" s="2" customFormat="1" ht="12.75">
      <c r="A677" s="18"/>
    </row>
    <row r="678" s="2" customFormat="1" ht="12.75">
      <c r="A678" s="18"/>
    </row>
    <row r="679" s="2" customFormat="1" ht="12.75">
      <c r="A679" s="18"/>
    </row>
    <row r="680" s="2" customFormat="1" ht="12.75">
      <c r="A680" s="18"/>
    </row>
    <row r="681" s="2" customFormat="1" ht="12.75">
      <c r="A681" s="18"/>
    </row>
    <row r="682" s="2" customFormat="1" ht="12.75">
      <c r="A682" s="18"/>
    </row>
    <row r="683" s="2" customFormat="1" ht="12.75">
      <c r="A683" s="18"/>
    </row>
    <row r="684" s="2" customFormat="1" ht="12.75">
      <c r="A684" s="18"/>
    </row>
    <row r="685" s="2" customFormat="1" ht="12.75">
      <c r="A685" s="18"/>
    </row>
    <row r="686" s="2" customFormat="1" ht="12.75">
      <c r="A686" s="18"/>
    </row>
    <row r="687" s="2" customFormat="1" ht="12.75">
      <c r="A687" s="18"/>
    </row>
    <row r="688" s="2" customFormat="1" ht="12.75">
      <c r="A688" s="18"/>
    </row>
    <row r="689" s="2" customFormat="1" ht="12.75">
      <c r="A689" s="18"/>
    </row>
    <row r="690" s="2" customFormat="1" ht="12.75">
      <c r="A690" s="18"/>
    </row>
    <row r="691" s="2" customFormat="1" ht="12.75">
      <c r="A691" s="18"/>
    </row>
    <row r="692" s="2" customFormat="1" ht="12.75">
      <c r="A692" s="18"/>
    </row>
    <row r="693" s="2" customFormat="1" ht="12.75">
      <c r="A693" s="18"/>
    </row>
    <row r="694" s="2" customFormat="1" ht="12.75">
      <c r="A694" s="18"/>
    </row>
    <row r="695" s="2" customFormat="1" ht="12.75">
      <c r="A695" s="18"/>
    </row>
    <row r="696" s="2" customFormat="1" ht="12.75">
      <c r="A696" s="18"/>
    </row>
    <row r="697" s="2" customFormat="1" ht="12.75">
      <c r="A697" s="18"/>
    </row>
    <row r="698" s="2" customFormat="1" ht="12.75">
      <c r="A698" s="18"/>
    </row>
    <row r="699" s="2" customFormat="1" ht="12.75">
      <c r="A699" s="18"/>
    </row>
    <row r="700" s="2" customFormat="1" ht="12.75">
      <c r="A700" s="18"/>
    </row>
    <row r="701" s="2" customFormat="1" ht="12.75">
      <c r="A701" s="18"/>
    </row>
    <row r="702" s="2" customFormat="1" ht="12.75">
      <c r="A702" s="18"/>
    </row>
    <row r="703" s="2" customFormat="1" ht="12.75">
      <c r="A703" s="18"/>
    </row>
    <row r="704" s="2" customFormat="1" ht="12.75">
      <c r="A704" s="18"/>
    </row>
    <row r="705" s="2" customFormat="1" ht="12.75">
      <c r="A705" s="18"/>
    </row>
    <row r="706" s="2" customFormat="1" ht="12.75">
      <c r="A706" s="18"/>
    </row>
    <row r="707" s="2" customFormat="1" ht="12.75">
      <c r="A707" s="18"/>
    </row>
    <row r="708" s="2" customFormat="1" ht="12.75">
      <c r="A708" s="18"/>
    </row>
    <row r="709" s="2" customFormat="1" ht="12.75">
      <c r="A709" s="18"/>
    </row>
    <row r="710" s="2" customFormat="1" ht="12.75">
      <c r="A710" s="18"/>
    </row>
    <row r="711" s="2" customFormat="1" ht="12.75">
      <c r="A711" s="18"/>
    </row>
    <row r="712" s="2" customFormat="1" ht="12.75">
      <c r="A712" s="18"/>
    </row>
    <row r="713" s="2" customFormat="1" ht="12.75">
      <c r="A713" s="18"/>
    </row>
    <row r="714" s="2" customFormat="1" ht="12.75">
      <c r="A714" s="18"/>
    </row>
    <row r="715" s="2" customFormat="1" ht="12.75">
      <c r="A715" s="18"/>
    </row>
    <row r="716" s="2" customFormat="1" ht="12.75">
      <c r="A716" s="18"/>
    </row>
    <row r="717" s="2" customFormat="1" ht="12.75">
      <c r="A717" s="18"/>
    </row>
    <row r="718" s="2" customFormat="1" ht="12.75">
      <c r="A718" s="18"/>
    </row>
    <row r="719" s="2" customFormat="1" ht="12.75">
      <c r="A719" s="18"/>
    </row>
    <row r="720" s="2" customFormat="1" ht="12.75">
      <c r="A720" s="18"/>
    </row>
    <row r="721" s="2" customFormat="1" ht="12.75">
      <c r="A721" s="18"/>
    </row>
    <row r="722" s="2" customFormat="1" ht="12.75">
      <c r="A722" s="18"/>
    </row>
    <row r="723" s="2" customFormat="1" ht="12.75">
      <c r="A723" s="18"/>
    </row>
    <row r="724" s="2" customFormat="1" ht="12.75">
      <c r="A724" s="18"/>
    </row>
    <row r="725" s="2" customFormat="1" ht="12.75">
      <c r="A725" s="18"/>
    </row>
    <row r="726" s="2" customFormat="1" ht="12.75">
      <c r="A726" s="18"/>
    </row>
    <row r="727" s="2" customFormat="1" ht="12.75">
      <c r="A727" s="18"/>
    </row>
    <row r="728" s="2" customFormat="1" ht="12.75">
      <c r="A728" s="18"/>
    </row>
    <row r="729" s="2" customFormat="1" ht="12.75">
      <c r="A729" s="18"/>
    </row>
    <row r="730" s="2" customFormat="1" ht="12.75">
      <c r="A730" s="18"/>
    </row>
    <row r="731" s="2" customFormat="1" ht="12.75">
      <c r="A731" s="18"/>
    </row>
    <row r="732" s="2" customFormat="1" ht="12.75">
      <c r="A732" s="18"/>
    </row>
    <row r="733" s="2" customFormat="1" ht="12.75">
      <c r="A733" s="18"/>
    </row>
    <row r="734" s="2" customFormat="1" ht="12.75">
      <c r="A734" s="18"/>
    </row>
    <row r="735" s="2" customFormat="1" ht="12.75">
      <c r="A735" s="18"/>
    </row>
    <row r="736" s="2" customFormat="1" ht="12.75">
      <c r="A736" s="18"/>
    </row>
    <row r="737" s="2" customFormat="1" ht="12.75">
      <c r="A737" s="18"/>
    </row>
    <row r="738" s="2" customFormat="1" ht="12.75">
      <c r="A738" s="18"/>
    </row>
    <row r="739" s="2" customFormat="1" ht="12.75">
      <c r="A739" s="18"/>
    </row>
    <row r="740" s="2" customFormat="1" ht="12.75">
      <c r="A740" s="18"/>
    </row>
    <row r="741" s="2" customFormat="1" ht="12.75">
      <c r="A741" s="18"/>
    </row>
    <row r="742" s="2" customFormat="1" ht="12.75">
      <c r="A742" s="18"/>
    </row>
    <row r="743" s="2" customFormat="1" ht="12.75">
      <c r="A743" s="18"/>
    </row>
    <row r="744" s="2" customFormat="1" ht="12.75">
      <c r="A744" s="18"/>
    </row>
    <row r="745" s="2" customFormat="1" ht="12.75">
      <c r="A745" s="18"/>
    </row>
    <row r="746" s="2" customFormat="1" ht="12.75">
      <c r="A746" s="18"/>
    </row>
    <row r="747" s="2" customFormat="1" ht="12.75">
      <c r="A747" s="18"/>
    </row>
    <row r="748" s="2" customFormat="1" ht="12.75">
      <c r="A748" s="18"/>
    </row>
    <row r="749" s="2" customFormat="1" ht="12.75">
      <c r="A749" s="18"/>
    </row>
    <row r="750" s="2" customFormat="1" ht="12.75">
      <c r="A750" s="18"/>
    </row>
    <row r="751" s="2" customFormat="1" ht="12.75">
      <c r="A751" s="18"/>
    </row>
    <row r="752" s="2" customFormat="1" ht="12.75">
      <c r="A752" s="18"/>
    </row>
    <row r="753" s="2" customFormat="1" ht="12.75">
      <c r="A753" s="18"/>
    </row>
    <row r="754" s="2" customFormat="1" ht="12.75">
      <c r="A754" s="18"/>
    </row>
    <row r="755" s="2" customFormat="1" ht="12.75">
      <c r="A755" s="18"/>
    </row>
    <row r="756" s="2" customFormat="1" ht="12.75">
      <c r="A756" s="18"/>
    </row>
    <row r="757" s="2" customFormat="1" ht="12.75">
      <c r="A757" s="18"/>
    </row>
    <row r="758" s="2" customFormat="1" ht="12.75">
      <c r="A758" s="18"/>
    </row>
    <row r="759" s="2" customFormat="1" ht="12.75">
      <c r="A759" s="18"/>
    </row>
    <row r="760" s="2" customFormat="1" ht="12.75">
      <c r="A760" s="18"/>
    </row>
    <row r="761" s="2" customFormat="1" ht="12.75">
      <c r="A761" s="18"/>
    </row>
    <row r="762" s="2" customFormat="1" ht="12.75">
      <c r="A762" s="18"/>
    </row>
    <row r="763" s="2" customFormat="1" ht="12.75">
      <c r="A763" s="18"/>
    </row>
    <row r="764" s="2" customFormat="1" ht="12.75">
      <c r="A764" s="18"/>
    </row>
    <row r="765" s="2" customFormat="1" ht="12.75">
      <c r="A765" s="18"/>
    </row>
    <row r="766" s="2" customFormat="1" ht="12.75">
      <c r="A766" s="18"/>
    </row>
    <row r="767" s="2" customFormat="1" ht="12.75">
      <c r="A767" s="18"/>
    </row>
    <row r="768" s="2" customFormat="1" ht="12.75">
      <c r="A768" s="18"/>
    </row>
    <row r="769" s="2" customFormat="1" ht="12.75">
      <c r="A769" s="18"/>
    </row>
    <row r="770" s="2" customFormat="1" ht="12.75">
      <c r="A770" s="18"/>
    </row>
    <row r="771" s="2" customFormat="1" ht="12.75">
      <c r="A771" s="18"/>
    </row>
    <row r="772" s="2" customFormat="1" ht="12.75">
      <c r="A772" s="18"/>
    </row>
    <row r="773" s="2" customFormat="1" ht="12.75">
      <c r="A773" s="18"/>
    </row>
    <row r="774" s="2" customFormat="1" ht="12.75">
      <c r="A774" s="18"/>
    </row>
    <row r="775" s="2" customFormat="1" ht="12.75">
      <c r="A775" s="18"/>
    </row>
    <row r="776" s="2" customFormat="1" ht="12.75">
      <c r="A776" s="18"/>
    </row>
    <row r="777" s="2" customFormat="1" ht="12.75">
      <c r="A777" s="18"/>
    </row>
    <row r="778" s="2" customFormat="1" ht="12.75">
      <c r="A778" s="18"/>
    </row>
    <row r="779" s="2" customFormat="1" ht="12.75">
      <c r="A779" s="18"/>
    </row>
    <row r="780" s="2" customFormat="1" ht="12.75">
      <c r="A780" s="18"/>
    </row>
    <row r="781" s="2" customFormat="1" ht="12.75">
      <c r="A781" s="18"/>
    </row>
    <row r="782" s="2" customFormat="1" ht="12.75">
      <c r="A782" s="18"/>
    </row>
    <row r="783" s="2" customFormat="1" ht="12.75">
      <c r="A783" s="18"/>
    </row>
    <row r="784" s="2" customFormat="1" ht="12.75">
      <c r="A784" s="18"/>
    </row>
  </sheetData>
  <mergeCells count="1">
    <mergeCell ref="G277:G278"/>
  </mergeCells>
  <printOptions horizontalCentered="1"/>
  <pageMargins left="0.5118110236220472" right="0.3937007874015748" top="0.984251968503937" bottom="0.3937007874015748" header="0.5118110236220472" footer="0.5118110236220472"/>
  <pageSetup horizontalDpi="600" verticalDpi="600" orientation="portrait" paperSize="9" scale="98" r:id="rId4"/>
  <rowBreaks count="7" manualBreakCount="7">
    <brk id="54" max="8" man="1"/>
    <brk id="101" max="8" man="1"/>
    <brk id="154" max="8" man="1"/>
    <brk id="208" max="8" man="1"/>
    <brk id="268" max="8" man="1"/>
    <brk id="315" max="8" man="1"/>
    <brk id="373" max="8" man="1"/>
  </rowBreaks>
  <drawing r:id="rId3"/>
  <legacyDrawing r:id="rId2"/>
</worksheet>
</file>

<file path=xl/worksheets/sheet9.xml><?xml version="1.0" encoding="utf-8"?>
<worksheet xmlns="http://schemas.openxmlformats.org/spreadsheetml/2006/main" xmlns:r="http://schemas.openxmlformats.org/officeDocument/2006/relationships">
  <dimension ref="A1:CV101"/>
  <sheetViews>
    <sheetView view="pageBreakPreview" zoomScale="60" workbookViewId="0" topLeftCell="A1">
      <selection activeCell="E5" sqref="E5"/>
    </sheetView>
  </sheetViews>
  <sheetFormatPr defaultColWidth="9.140625" defaultRowHeight="12.75"/>
  <cols>
    <col min="1" max="1" width="3.7109375" style="126" customWidth="1"/>
    <col min="2" max="2" width="38.421875" style="126" customWidth="1"/>
    <col min="3" max="3" width="13.421875" style="126" customWidth="1"/>
    <col min="4" max="4" width="14.421875" style="126" customWidth="1"/>
    <col min="5" max="6" width="16.421875" style="126" customWidth="1"/>
    <col min="7" max="7" width="12.421875" style="126" customWidth="1"/>
    <col min="8" max="8" width="14.7109375" style="126" customWidth="1"/>
    <col min="9" max="9" width="12.421875" style="126" customWidth="1"/>
    <col min="10" max="10" width="14.00390625" style="126" customWidth="1"/>
    <col min="11" max="11" width="12.421875" style="126" customWidth="1"/>
    <col min="12" max="12" width="15.7109375" style="126" customWidth="1"/>
    <col min="13" max="13" width="10.57421875" style="126" customWidth="1"/>
    <col min="14" max="14" width="11.7109375" style="126" customWidth="1"/>
    <col min="15" max="15" width="15.421875" style="126" customWidth="1"/>
    <col min="16" max="16" width="14.7109375" style="126" customWidth="1"/>
    <col min="17" max="17" width="6.57421875" style="126" customWidth="1"/>
    <col min="18" max="18" width="14.421875" style="126" customWidth="1"/>
    <col min="19" max="19" width="17.57421875" style="126" customWidth="1"/>
    <col min="20" max="20" width="16.57421875" style="126" bestFit="1" customWidth="1"/>
    <col min="21" max="21" width="18.421875" style="126" customWidth="1"/>
    <col min="22" max="16384" width="9.140625" style="126" customWidth="1"/>
  </cols>
  <sheetData>
    <row r="1" ht="12.75">
      <c r="Q1" s="127"/>
    </row>
    <row r="2" spans="1:20" ht="12.75">
      <c r="A2" s="128" t="s">
        <v>262</v>
      </c>
      <c r="B2" s="129"/>
      <c r="C2" s="129"/>
      <c r="D2" s="130"/>
      <c r="E2" s="130"/>
      <c r="F2" s="130"/>
      <c r="G2" s="130"/>
      <c r="H2" s="130"/>
      <c r="I2" s="130"/>
      <c r="J2" s="130"/>
      <c r="K2" s="130"/>
      <c r="L2" s="131"/>
      <c r="M2" s="131"/>
      <c r="N2" s="131"/>
      <c r="O2" s="131"/>
      <c r="P2" s="131"/>
      <c r="Q2" s="132"/>
      <c r="R2" s="133"/>
      <c r="S2" s="134"/>
      <c r="T2" s="134"/>
    </row>
    <row r="3" spans="1:21" ht="13.5">
      <c r="A3" s="128" t="s">
        <v>263</v>
      </c>
      <c r="B3" s="129"/>
      <c r="C3" s="129"/>
      <c r="D3" s="130"/>
      <c r="E3" s="130"/>
      <c r="F3" s="130"/>
      <c r="G3" s="130"/>
      <c r="H3" s="130"/>
      <c r="I3" s="130"/>
      <c r="J3" s="130"/>
      <c r="K3" s="130"/>
      <c r="L3" s="135" t="s">
        <v>264</v>
      </c>
      <c r="M3" s="131"/>
      <c r="N3" s="131"/>
      <c r="O3" s="131"/>
      <c r="P3" s="131"/>
      <c r="Q3" s="132"/>
      <c r="R3" s="209" t="s">
        <v>265</v>
      </c>
      <c r="S3" s="210"/>
      <c r="T3" s="210"/>
      <c r="U3" s="210"/>
    </row>
    <row r="4" spans="1:21" ht="12.75">
      <c r="A4" s="136"/>
      <c r="C4" s="137" t="s">
        <v>266</v>
      </c>
      <c r="D4" s="211" t="s">
        <v>267</v>
      </c>
      <c r="E4" s="211"/>
      <c r="F4" s="137" t="s">
        <v>325</v>
      </c>
      <c r="G4" s="138" t="s">
        <v>268</v>
      </c>
      <c r="H4" s="138" t="s">
        <v>269</v>
      </c>
      <c r="I4" s="138" t="s">
        <v>270</v>
      </c>
      <c r="J4" s="138" t="s">
        <v>271</v>
      </c>
      <c r="K4" s="139" t="s">
        <v>272</v>
      </c>
      <c r="L4" s="139" t="s">
        <v>273</v>
      </c>
      <c r="M4" s="140" t="s">
        <v>274</v>
      </c>
      <c r="N4" s="140" t="s">
        <v>327</v>
      </c>
      <c r="O4" s="140" t="s">
        <v>326</v>
      </c>
      <c r="P4" s="141" t="s">
        <v>275</v>
      </c>
      <c r="Q4" s="142"/>
      <c r="R4" s="143" t="s">
        <v>276</v>
      </c>
      <c r="S4" s="144" t="s">
        <v>264</v>
      </c>
      <c r="T4" s="145" t="s">
        <v>275</v>
      </c>
      <c r="U4" s="146" t="s">
        <v>27</v>
      </c>
    </row>
    <row r="5" spans="1:17" ht="12.75">
      <c r="A5" s="136"/>
      <c r="B5" s="147"/>
      <c r="C5" s="148"/>
      <c r="D5" s="149" t="s">
        <v>276</v>
      </c>
      <c r="E5" s="150" t="s">
        <v>324</v>
      </c>
      <c r="F5" s="194"/>
      <c r="G5" s="148"/>
      <c r="H5" s="151"/>
      <c r="I5" s="152"/>
      <c r="J5" s="131"/>
      <c r="K5" s="131"/>
      <c r="L5" s="133"/>
      <c r="M5" s="133"/>
      <c r="N5" s="133"/>
      <c r="O5" s="133"/>
      <c r="P5" s="133"/>
      <c r="Q5" s="153"/>
    </row>
    <row r="6" spans="1:17" ht="12.75">
      <c r="A6" s="136"/>
      <c r="B6" s="147"/>
      <c r="C6" s="148"/>
      <c r="D6" s="134"/>
      <c r="E6" s="134"/>
      <c r="F6" s="195"/>
      <c r="G6" s="148"/>
      <c r="H6" s="151"/>
      <c r="I6" s="152"/>
      <c r="J6" s="131"/>
      <c r="K6" s="131"/>
      <c r="L6" s="133"/>
      <c r="M6" s="133"/>
      <c r="N6" s="133"/>
      <c r="O6" s="133"/>
      <c r="P6" s="133"/>
      <c r="Q6" s="153"/>
    </row>
    <row r="7" spans="1:21" ht="12.75">
      <c r="A7" s="1" t="s">
        <v>3</v>
      </c>
      <c r="C7" s="154"/>
      <c r="D7" s="154"/>
      <c r="E7" s="154"/>
      <c r="F7" s="196"/>
      <c r="G7" s="154"/>
      <c r="H7" s="154"/>
      <c r="I7" s="154"/>
      <c r="J7" s="154"/>
      <c r="K7" s="154"/>
      <c r="L7" s="154"/>
      <c r="M7" s="154"/>
      <c r="N7" s="154"/>
      <c r="O7" s="154"/>
      <c r="P7" s="154"/>
      <c r="Q7" s="155"/>
      <c r="R7" s="154"/>
      <c r="S7" s="156"/>
      <c r="T7" s="156"/>
      <c r="U7" s="157"/>
    </row>
    <row r="8" spans="2:21" ht="12.75">
      <c r="B8" s="126" t="s">
        <v>278</v>
      </c>
      <c r="C8" s="154"/>
      <c r="D8" s="154"/>
      <c r="E8" s="154"/>
      <c r="F8" s="196"/>
      <c r="G8" s="154"/>
      <c r="H8" s="154"/>
      <c r="I8" s="154"/>
      <c r="J8" s="154"/>
      <c r="K8" s="154"/>
      <c r="L8" s="154"/>
      <c r="M8" s="154"/>
      <c r="N8" s="154"/>
      <c r="O8" s="154"/>
      <c r="P8" s="154"/>
      <c r="Q8" s="155"/>
      <c r="R8" s="154"/>
      <c r="S8" s="156"/>
      <c r="T8" s="156"/>
      <c r="U8" s="157"/>
    </row>
    <row r="9" spans="2:21" ht="12.75">
      <c r="B9" s="126" t="s">
        <v>279</v>
      </c>
      <c r="C9" s="154"/>
      <c r="D9" s="154">
        <f>20740312.35-E9</f>
        <v>20110977.35</v>
      </c>
      <c r="E9" s="158">
        <v>629335</v>
      </c>
      <c r="F9" s="196">
        <v>102000</v>
      </c>
      <c r="G9" s="154"/>
      <c r="H9" s="154"/>
      <c r="I9" s="154"/>
      <c r="J9" s="154"/>
      <c r="K9" s="154">
        <v>1205561.36</v>
      </c>
      <c r="L9" s="158">
        <v>1731513.22</v>
      </c>
      <c r="M9" s="154"/>
      <c r="N9" s="154"/>
      <c r="O9" s="154"/>
      <c r="P9" s="154">
        <v>-90500</v>
      </c>
      <c r="Q9" s="155"/>
      <c r="R9" s="154">
        <f>C9+D9+F9+G9+H9+I9+J9</f>
        <v>20212977.35</v>
      </c>
      <c r="S9" s="154">
        <f>E9+K9+L9+M9+N9+O9</f>
        <v>3566409.58</v>
      </c>
      <c r="T9" s="159">
        <f>P9</f>
        <v>-90500</v>
      </c>
      <c r="U9" s="160">
        <f>SUM(R9:T9)</f>
        <v>23688886.93</v>
      </c>
    </row>
    <row r="10" spans="2:21" ht="12.75">
      <c r="B10" s="126" t="s">
        <v>280</v>
      </c>
      <c r="C10" s="154"/>
      <c r="D10" s="154">
        <f>1149254.78+3007967.43</f>
        <v>4157222.21</v>
      </c>
      <c r="E10" s="158"/>
      <c r="F10" s="196"/>
      <c r="G10" s="154"/>
      <c r="H10" s="154">
        <f>203206.52-H11</f>
        <v>195525.52</v>
      </c>
      <c r="I10" s="154"/>
      <c r="J10" s="154"/>
      <c r="K10" s="154"/>
      <c r="L10" s="158"/>
      <c r="M10" s="154"/>
      <c r="N10" s="154"/>
      <c r="O10" s="154"/>
      <c r="P10" s="159"/>
      <c r="Q10" s="155"/>
      <c r="R10" s="154">
        <f>C10+D10+F10+G10+H10+I10+J10</f>
        <v>4352747.7299999995</v>
      </c>
      <c r="S10" s="154">
        <f>E10+K10+L10+M10+N10+O10</f>
        <v>0</v>
      </c>
      <c r="T10" s="159">
        <f>P10</f>
        <v>0</v>
      </c>
      <c r="U10" s="160">
        <f>SUM(R10:T10)</f>
        <v>4352747.7299999995</v>
      </c>
    </row>
    <row r="11" spans="2:21" ht="12.75">
      <c r="B11" s="126" t="s">
        <v>281</v>
      </c>
      <c r="C11" s="154"/>
      <c r="D11" s="154"/>
      <c r="E11" s="158"/>
      <c r="F11" s="196"/>
      <c r="G11" s="154"/>
      <c r="H11" s="159">
        <v>7681</v>
      </c>
      <c r="I11" s="154"/>
      <c r="J11" s="154"/>
      <c r="K11" s="154"/>
      <c r="L11" s="158"/>
      <c r="M11" s="154"/>
      <c r="N11" s="154"/>
      <c r="O11" s="154"/>
      <c r="P11" s="159">
        <v>-7681</v>
      </c>
      <c r="Q11" s="155"/>
      <c r="R11" s="154">
        <f>C11+D11+F11+G11+H11+I11+J11</f>
        <v>7681</v>
      </c>
      <c r="S11" s="154">
        <f>E11+K11+L11+M11+N11+O11</f>
        <v>0</v>
      </c>
      <c r="T11" s="159">
        <f>P11</f>
        <v>-7681</v>
      </c>
      <c r="U11" s="160">
        <f>SUM(R11:T11)</f>
        <v>0</v>
      </c>
    </row>
    <row r="12" spans="3:21" ht="12.75">
      <c r="C12" s="161">
        <f>SUM(C8:C11)</f>
        <v>0</v>
      </c>
      <c r="D12" s="161">
        <f aca="true" t="shared" si="0" ref="D12:R12">SUM(D8:D11)</f>
        <v>24268199.560000002</v>
      </c>
      <c r="E12" s="162">
        <f t="shared" si="0"/>
        <v>629335</v>
      </c>
      <c r="F12" s="162">
        <f t="shared" si="0"/>
        <v>102000</v>
      </c>
      <c r="G12" s="161">
        <f t="shared" si="0"/>
        <v>0</v>
      </c>
      <c r="H12" s="161">
        <f t="shared" si="0"/>
        <v>203206.52</v>
      </c>
      <c r="I12" s="161">
        <f t="shared" si="0"/>
        <v>0</v>
      </c>
      <c r="J12" s="161">
        <f t="shared" si="0"/>
        <v>0</v>
      </c>
      <c r="K12" s="161">
        <f t="shared" si="0"/>
        <v>1205561.36</v>
      </c>
      <c r="L12" s="162">
        <f t="shared" si="0"/>
        <v>1731513.22</v>
      </c>
      <c r="M12" s="161">
        <f t="shared" si="0"/>
        <v>0</v>
      </c>
      <c r="N12" s="161"/>
      <c r="O12" s="161"/>
      <c r="P12" s="163">
        <f>SUM(P8:P11)</f>
        <v>-98181</v>
      </c>
      <c r="Q12" s="164"/>
      <c r="R12" s="161">
        <f t="shared" si="0"/>
        <v>24573406.080000002</v>
      </c>
      <c r="S12" s="165">
        <f>SUM(S8:S11)</f>
        <v>3566409.58</v>
      </c>
      <c r="T12" s="163">
        <f>SUM(T8:T11)</f>
        <v>-98181</v>
      </c>
      <c r="U12" s="165">
        <f>SUM(U8:U11)</f>
        <v>28041634.66</v>
      </c>
    </row>
    <row r="13" spans="3:21" ht="12.75">
      <c r="C13" s="166"/>
      <c r="D13" s="166"/>
      <c r="E13" s="166"/>
      <c r="F13" s="197"/>
      <c r="G13" s="166"/>
      <c r="H13" s="166"/>
      <c r="I13" s="166"/>
      <c r="J13" s="166"/>
      <c r="K13" s="166"/>
      <c r="L13" s="166"/>
      <c r="M13" s="166"/>
      <c r="N13" s="166"/>
      <c r="O13" s="166"/>
      <c r="P13" s="166"/>
      <c r="Q13" s="167"/>
      <c r="R13" s="166"/>
      <c r="S13" s="156"/>
      <c r="T13" s="156"/>
      <c r="U13" s="157"/>
    </row>
    <row r="14" spans="3:21" ht="12.75">
      <c r="C14" s="166"/>
      <c r="D14" s="166"/>
      <c r="E14" s="166">
        <f>D12+E12</f>
        <v>24897534.560000002</v>
      </c>
      <c r="F14" s="197"/>
      <c r="G14" s="166"/>
      <c r="H14" s="166"/>
      <c r="I14" s="166"/>
      <c r="J14" s="166"/>
      <c r="K14" s="166"/>
      <c r="L14" s="166"/>
      <c r="M14" s="166"/>
      <c r="N14" s="166"/>
      <c r="O14" s="166"/>
      <c r="P14" s="166"/>
      <c r="Q14" s="167"/>
      <c r="R14" s="166"/>
      <c r="S14" s="156"/>
      <c r="T14" s="156"/>
      <c r="U14" s="157"/>
    </row>
    <row r="15" spans="3:21" ht="12.75">
      <c r="C15" s="154"/>
      <c r="D15" s="154"/>
      <c r="E15" s="154"/>
      <c r="F15" s="196"/>
      <c r="G15" s="154"/>
      <c r="H15" s="154"/>
      <c r="I15" s="154"/>
      <c r="J15" s="154"/>
      <c r="K15" s="154"/>
      <c r="L15" s="154"/>
      <c r="M15" s="154"/>
      <c r="N15" s="154"/>
      <c r="O15" s="154"/>
      <c r="P15" s="154"/>
      <c r="Q15" s="155"/>
      <c r="R15" s="154"/>
      <c r="S15" s="156"/>
      <c r="T15" s="156"/>
      <c r="U15" s="157"/>
    </row>
    <row r="16" spans="1:21" ht="12.75">
      <c r="A16" s="1" t="s">
        <v>282</v>
      </c>
      <c r="C16" s="154"/>
      <c r="D16" s="154"/>
      <c r="E16" s="154"/>
      <c r="F16" s="196"/>
      <c r="G16" s="154"/>
      <c r="H16" s="154"/>
      <c r="I16" s="154"/>
      <c r="J16" s="154"/>
      <c r="K16" s="154"/>
      <c r="L16" s="154"/>
      <c r="M16" s="154"/>
      <c r="N16" s="154"/>
      <c r="O16" s="154"/>
      <c r="P16" s="154"/>
      <c r="Q16" s="155"/>
      <c r="R16" s="154"/>
      <c r="S16" s="156"/>
      <c r="T16" s="156"/>
      <c r="U16" s="160"/>
    </row>
    <row r="17" spans="2:21" ht="12.75">
      <c r="B17" s="126" t="s">
        <v>283</v>
      </c>
      <c r="C17" s="159">
        <v>-241378.58</v>
      </c>
      <c r="D17" s="154">
        <f>4043434.77+81837.03-E17</f>
        <v>4322110.83</v>
      </c>
      <c r="E17" s="158">
        <v>-196839.03</v>
      </c>
      <c r="F17" s="196">
        <v>12698.51</v>
      </c>
      <c r="G17" s="154">
        <v>-740892.93</v>
      </c>
      <c r="H17" s="159">
        <f>-529891.74+1658.46</f>
        <v>-528233.28</v>
      </c>
      <c r="I17" s="159">
        <v>-22890.55</v>
      </c>
      <c r="J17" s="159">
        <v>0</v>
      </c>
      <c r="K17" s="168">
        <f>-178925.85+22774.49</f>
        <v>-156151.36000000002</v>
      </c>
      <c r="L17" s="168">
        <v>343793.24</v>
      </c>
      <c r="M17" s="168">
        <v>-8933.98</v>
      </c>
      <c r="N17" s="168">
        <v>-262949.32</v>
      </c>
      <c r="O17" s="168">
        <f>496747.04+228208.29</f>
        <v>724955.33</v>
      </c>
      <c r="P17" s="159">
        <v>-284375.14</v>
      </c>
      <c r="Q17" s="169"/>
      <c r="R17" s="154">
        <f>C17+D17+F17+G17+H17+I17+J17</f>
        <v>2801414</v>
      </c>
      <c r="S17" s="154">
        <f>E17+K17+L17+M17+N17+O17</f>
        <v>443874.87999999995</v>
      </c>
      <c r="T17" s="156">
        <f>P17</f>
        <v>-284375.14</v>
      </c>
      <c r="U17" s="160">
        <f>SUM(R17:T17)</f>
        <v>2960913.7399999998</v>
      </c>
    </row>
    <row r="18" spans="2:21" ht="12.75">
      <c r="B18" s="126" t="s">
        <v>284</v>
      </c>
      <c r="C18" s="154"/>
      <c r="D18" s="154"/>
      <c r="E18" s="154"/>
      <c r="F18" s="196"/>
      <c r="G18" s="154"/>
      <c r="H18" s="154"/>
      <c r="I18" s="154"/>
      <c r="J18" s="154"/>
      <c r="K18" s="154"/>
      <c r="L18" s="154"/>
      <c r="M18" s="154"/>
      <c r="N18" s="154"/>
      <c r="O18" s="154"/>
      <c r="P18" s="154"/>
      <c r="Q18" s="155"/>
      <c r="R18" s="154">
        <f>C18+D18+F18+G18+H18+I18+J18</f>
        <v>0</v>
      </c>
      <c r="S18" s="154">
        <f>E18+K18+L18+M18+N18+O18</f>
        <v>0</v>
      </c>
      <c r="T18" s="156"/>
      <c r="U18" s="160">
        <f>SUM(R18:T18)</f>
        <v>0</v>
      </c>
    </row>
    <row r="19" spans="2:22" ht="12.75">
      <c r="B19" s="126" t="s">
        <v>285</v>
      </c>
      <c r="C19" s="170"/>
      <c r="D19" s="170">
        <v>-81837.03</v>
      </c>
      <c r="E19" s="170"/>
      <c r="F19" s="198"/>
      <c r="G19" s="170"/>
      <c r="H19" s="170">
        <v>-1658.46</v>
      </c>
      <c r="I19" s="170"/>
      <c r="J19" s="170"/>
      <c r="K19" s="171">
        <v>-22774.49</v>
      </c>
      <c r="L19" s="170"/>
      <c r="M19" s="170"/>
      <c r="N19" s="170"/>
      <c r="O19" s="170"/>
      <c r="P19" s="170"/>
      <c r="Q19" s="172"/>
      <c r="R19" s="199">
        <f>C19+D19+F19+G19+H19+I19+J19</f>
        <v>-83495.49</v>
      </c>
      <c r="S19" s="199">
        <f>E19+K19+L19+M19+N19+O19</f>
        <v>-22774.49</v>
      </c>
      <c r="T19" s="173"/>
      <c r="U19" s="174">
        <f>SUM(R19:T19)</f>
        <v>-106269.98000000001</v>
      </c>
      <c r="V19" s="175"/>
    </row>
    <row r="20" spans="2:21" ht="12.75">
      <c r="B20" s="126" t="s">
        <v>286</v>
      </c>
      <c r="C20" s="154"/>
      <c r="D20" s="154"/>
      <c r="E20" s="154"/>
      <c r="F20" s="196"/>
      <c r="G20" s="154"/>
      <c r="H20" s="154"/>
      <c r="I20" s="154"/>
      <c r="J20" s="154"/>
      <c r="K20" s="154"/>
      <c r="L20" s="154"/>
      <c r="M20" s="154"/>
      <c r="N20" s="154"/>
      <c r="O20" s="154"/>
      <c r="P20" s="154"/>
      <c r="Q20" s="155"/>
      <c r="R20" s="154">
        <f>SUM(R17:R19)</f>
        <v>2717918.51</v>
      </c>
      <c r="S20" s="176">
        <f>SUM(S17:S19)</f>
        <v>421100.38999999996</v>
      </c>
      <c r="T20" s="154">
        <f>SUM(T17:T19)</f>
        <v>-284375.14</v>
      </c>
      <c r="U20" s="160">
        <f>SUM(U16:U19)</f>
        <v>2854643.76</v>
      </c>
    </row>
    <row r="21" spans="2:21" ht="12.75">
      <c r="B21" s="126" t="s">
        <v>287</v>
      </c>
      <c r="C21" s="154"/>
      <c r="D21" s="154"/>
      <c r="E21" s="154"/>
      <c r="F21" s="196"/>
      <c r="G21" s="154"/>
      <c r="H21" s="154"/>
      <c r="I21" s="154"/>
      <c r="J21" s="154"/>
      <c r="K21" s="154"/>
      <c r="L21" s="154"/>
      <c r="M21" s="154"/>
      <c r="N21" s="154"/>
      <c r="O21" s="154"/>
      <c r="P21" s="154"/>
      <c r="Q21" s="155"/>
      <c r="R21" s="154"/>
      <c r="S21" s="156"/>
      <c r="T21" s="156"/>
      <c r="U21" s="177">
        <v>-978199.92</v>
      </c>
    </row>
    <row r="22" spans="2:21" ht="12.75">
      <c r="B22" s="126" t="s">
        <v>288</v>
      </c>
      <c r="C22" s="154"/>
      <c r="D22" s="154"/>
      <c r="E22" s="154"/>
      <c r="F22" s="196"/>
      <c r="G22" s="154"/>
      <c r="H22" s="154"/>
      <c r="I22" s="154"/>
      <c r="J22" s="154"/>
      <c r="K22" s="154"/>
      <c r="L22" s="154"/>
      <c r="M22" s="154"/>
      <c r="N22" s="154"/>
      <c r="O22" s="154"/>
      <c r="P22" s="154"/>
      <c r="Q22" s="155"/>
      <c r="R22" s="161"/>
      <c r="S22" s="178"/>
      <c r="T22" s="178"/>
      <c r="U22" s="179">
        <f>SUM(U20:U21)</f>
        <v>1876443.8399999999</v>
      </c>
    </row>
    <row r="23" spans="3:21" ht="12.75">
      <c r="C23" s="154"/>
      <c r="D23" s="154"/>
      <c r="E23" s="154"/>
      <c r="F23" s="196"/>
      <c r="G23" s="154"/>
      <c r="H23" s="154"/>
      <c r="I23" s="154"/>
      <c r="J23" s="154"/>
      <c r="K23" s="154"/>
      <c r="L23" s="154"/>
      <c r="M23" s="154"/>
      <c r="N23" s="154"/>
      <c r="O23" s="154"/>
      <c r="P23" s="154"/>
      <c r="Q23" s="155"/>
      <c r="R23" s="154"/>
      <c r="S23" s="156"/>
      <c r="T23" s="156"/>
      <c r="U23" s="157"/>
    </row>
    <row r="24" spans="1:21" ht="12.75">
      <c r="A24" s="1" t="s">
        <v>289</v>
      </c>
      <c r="C24" s="154"/>
      <c r="D24" s="154"/>
      <c r="E24" s="154"/>
      <c r="F24" s="196"/>
      <c r="G24" s="154"/>
      <c r="H24" s="154"/>
      <c r="I24" s="154"/>
      <c r="J24" s="154"/>
      <c r="K24" s="154"/>
      <c r="L24" s="154"/>
      <c r="M24" s="154"/>
      <c r="N24" s="154"/>
      <c r="O24" s="154"/>
      <c r="P24" s="154"/>
      <c r="Q24" s="155"/>
      <c r="R24" s="154"/>
      <c r="S24" s="156"/>
      <c r="T24" s="156"/>
      <c r="U24" s="157"/>
    </row>
    <row r="25" spans="2:21" ht="12.75">
      <c r="B25" s="126" t="s">
        <v>290</v>
      </c>
      <c r="C25" s="154"/>
      <c r="D25" s="154"/>
      <c r="E25" s="154"/>
      <c r="F25" s="196"/>
      <c r="G25" s="154"/>
      <c r="H25" s="154"/>
      <c r="I25" s="154"/>
      <c r="J25" s="154"/>
      <c r="K25" s="154"/>
      <c r="L25" s="154"/>
      <c r="M25" s="154"/>
      <c r="N25" s="154"/>
      <c r="O25" s="154"/>
      <c r="P25" s="154"/>
      <c r="Q25" s="155"/>
      <c r="R25" s="154"/>
      <c r="S25" s="156"/>
      <c r="T25" s="156"/>
      <c r="U25" s="157"/>
    </row>
    <row r="26" spans="2:21" ht="12.75">
      <c r="B26" s="126" t="s">
        <v>291</v>
      </c>
      <c r="C26" s="154"/>
      <c r="D26" s="154"/>
      <c r="E26" s="158"/>
      <c r="F26" s="196"/>
      <c r="G26" s="154"/>
      <c r="H26" s="154"/>
      <c r="I26" s="154"/>
      <c r="J26" s="154"/>
      <c r="K26" s="158"/>
      <c r="L26" s="158"/>
      <c r="M26" s="158"/>
      <c r="N26" s="158"/>
      <c r="O26" s="158"/>
      <c r="P26" s="154"/>
      <c r="Q26" s="155"/>
      <c r="R26" s="154">
        <f>C26+D26+G26+H26+I26+J26</f>
        <v>0</v>
      </c>
      <c r="S26" s="154">
        <f>E26+K26+L26+M26</f>
        <v>0</v>
      </c>
      <c r="T26" s="180">
        <f>P26</f>
        <v>0</v>
      </c>
      <c r="U26" s="160">
        <f>SUM(R26:T26)</f>
        <v>0</v>
      </c>
    </row>
    <row r="27" spans="2:21" ht="12.75">
      <c r="B27" s="126" t="s">
        <v>292</v>
      </c>
      <c r="C27" s="154"/>
      <c r="D27" s="154"/>
      <c r="E27" s="158"/>
      <c r="F27" s="196"/>
      <c r="G27" s="154"/>
      <c r="H27" s="154"/>
      <c r="I27" s="154"/>
      <c r="J27" s="154"/>
      <c r="K27" s="158"/>
      <c r="L27" s="158"/>
      <c r="M27" s="158"/>
      <c r="N27" s="158"/>
      <c r="O27" s="158"/>
      <c r="P27" s="159"/>
      <c r="Q27" s="155"/>
      <c r="R27" s="154">
        <f>C27+D27+G27+H27+I27+J27</f>
        <v>0</v>
      </c>
      <c r="S27" s="154">
        <f>E27+K27+L27+M27</f>
        <v>0</v>
      </c>
      <c r="T27" s="159">
        <f>P27</f>
        <v>0</v>
      </c>
      <c r="U27" s="160">
        <f>SUM(R27:T27)</f>
        <v>0</v>
      </c>
    </row>
    <row r="28" spans="3:21" ht="12.75">
      <c r="C28" s="161">
        <f>SUM(C26:C27)</f>
        <v>0</v>
      </c>
      <c r="D28" s="161">
        <f aca="true" t="shared" si="1" ref="D28:K28">SUM(D26:D27)</f>
        <v>0</v>
      </c>
      <c r="E28" s="162">
        <f t="shared" si="1"/>
        <v>0</v>
      </c>
      <c r="F28" s="182"/>
      <c r="G28" s="161">
        <f t="shared" si="1"/>
        <v>0</v>
      </c>
      <c r="H28" s="161">
        <f t="shared" si="1"/>
        <v>0</v>
      </c>
      <c r="I28" s="161">
        <f t="shared" si="1"/>
        <v>0</v>
      </c>
      <c r="J28" s="161">
        <f t="shared" si="1"/>
        <v>0</v>
      </c>
      <c r="K28" s="162">
        <f t="shared" si="1"/>
        <v>0</v>
      </c>
      <c r="L28" s="162">
        <f>SUM(L26:L27)</f>
        <v>0</v>
      </c>
      <c r="M28" s="162">
        <f>SUM(M26:M27)</f>
        <v>0</v>
      </c>
      <c r="N28" s="162"/>
      <c r="O28" s="162"/>
      <c r="P28" s="181">
        <f>SUM(P26:P27)</f>
        <v>0</v>
      </c>
      <c r="Q28" s="164"/>
      <c r="R28" s="182">
        <f>SUM(R26:R27)</f>
        <v>0</v>
      </c>
      <c r="S28" s="183">
        <f>SUM(S26:S27)</f>
        <v>0</v>
      </c>
      <c r="T28" s="181">
        <f>SUM(T26:T27)</f>
        <v>0</v>
      </c>
      <c r="U28" s="183">
        <f>SUM(U26:U27)</f>
        <v>0</v>
      </c>
    </row>
    <row r="29" spans="3:21" ht="12.75">
      <c r="C29" s="154"/>
      <c r="D29" s="154"/>
      <c r="E29" s="154"/>
      <c r="F29" s="154"/>
      <c r="G29" s="154"/>
      <c r="H29" s="154"/>
      <c r="I29" s="154"/>
      <c r="J29" s="154"/>
      <c r="K29" s="154"/>
      <c r="L29" s="154"/>
      <c r="M29" s="154"/>
      <c r="N29" s="154"/>
      <c r="O29" s="154"/>
      <c r="P29" s="154"/>
      <c r="Q29" s="155"/>
      <c r="R29" s="154"/>
      <c r="S29" s="156"/>
      <c r="T29" s="156"/>
      <c r="U29" s="157"/>
    </row>
    <row r="30" spans="1:21" ht="12.75">
      <c r="A30" s="1" t="s">
        <v>293</v>
      </c>
      <c r="C30" s="154"/>
      <c r="D30" s="154"/>
      <c r="E30" s="154"/>
      <c r="F30" s="154"/>
      <c r="G30" s="154"/>
      <c r="H30" s="154"/>
      <c r="I30" s="154"/>
      <c r="J30" s="154"/>
      <c r="K30" s="154"/>
      <c r="L30" s="154"/>
      <c r="M30" s="154"/>
      <c r="N30" s="154"/>
      <c r="O30" s="154"/>
      <c r="P30" s="154"/>
      <c r="Q30" s="155"/>
      <c r="R30" s="154"/>
      <c r="S30" s="156"/>
      <c r="T30" s="156"/>
      <c r="U30" s="157"/>
    </row>
    <row r="31" spans="2:21" ht="12.75">
      <c r="B31" s="126" t="s">
        <v>294</v>
      </c>
      <c r="C31" s="154"/>
      <c r="D31" s="154"/>
      <c r="E31" s="154"/>
      <c r="F31" s="154"/>
      <c r="G31" s="154"/>
      <c r="H31" s="154"/>
      <c r="I31" s="154"/>
      <c r="J31" s="154"/>
      <c r="K31" s="154"/>
      <c r="L31" s="154"/>
      <c r="M31" s="154"/>
      <c r="N31" s="154"/>
      <c r="O31" s="154"/>
      <c r="P31" s="154"/>
      <c r="Q31" s="155"/>
      <c r="R31" s="154"/>
      <c r="S31" s="154"/>
      <c r="T31" s="156"/>
      <c r="U31" s="160"/>
    </row>
    <row r="32" spans="2:21" ht="12.75">
      <c r="B32" s="126" t="s">
        <v>295</v>
      </c>
      <c r="C32" s="154"/>
      <c r="D32" s="154"/>
      <c r="E32" s="158"/>
      <c r="F32" s="158"/>
      <c r="G32" s="154"/>
      <c r="H32" s="154"/>
      <c r="I32" s="154"/>
      <c r="J32" s="154"/>
      <c r="K32" s="158"/>
      <c r="L32" s="158"/>
      <c r="M32" s="158"/>
      <c r="N32" s="158"/>
      <c r="O32" s="158"/>
      <c r="P32" s="159"/>
      <c r="Q32" s="155"/>
      <c r="R32" s="154">
        <f>C32+D32+G32+H32+I32+J32</f>
        <v>0</v>
      </c>
      <c r="S32" s="154">
        <f>E32+K32+L32+M32</f>
        <v>0</v>
      </c>
      <c r="T32" s="159">
        <f>P32</f>
        <v>0</v>
      </c>
      <c r="U32" s="160">
        <f>SUM(R32:T32)</f>
        <v>0</v>
      </c>
    </row>
    <row r="33" spans="2:21" ht="12.75">
      <c r="B33" s="126" t="s">
        <v>296</v>
      </c>
      <c r="C33" s="154"/>
      <c r="D33" s="154"/>
      <c r="E33" s="158"/>
      <c r="F33" s="158"/>
      <c r="G33" s="154"/>
      <c r="H33" s="154"/>
      <c r="I33" s="154"/>
      <c r="J33" s="154"/>
      <c r="K33" s="158"/>
      <c r="L33" s="158"/>
      <c r="M33" s="158"/>
      <c r="N33" s="158"/>
      <c r="O33" s="158"/>
      <c r="P33" s="154"/>
      <c r="Q33" s="155"/>
      <c r="R33" s="154">
        <f>C33+D33+G33+H33+I33+J33</f>
        <v>0</v>
      </c>
      <c r="S33" s="154">
        <f>E33+K33+L33+M33</f>
        <v>0</v>
      </c>
      <c r="T33" s="159">
        <f>P33</f>
        <v>0</v>
      </c>
      <c r="U33" s="160">
        <f>SUM(R33:T33)</f>
        <v>0</v>
      </c>
    </row>
    <row r="34" spans="3:21" ht="12.75">
      <c r="C34" s="161">
        <f>SUM(C32:C33)</f>
        <v>0</v>
      </c>
      <c r="D34" s="161">
        <f aca="true" t="shared" si="2" ref="D34:K34">SUM(D32:D33)</f>
        <v>0</v>
      </c>
      <c r="E34" s="162">
        <f t="shared" si="2"/>
        <v>0</v>
      </c>
      <c r="F34" s="162"/>
      <c r="G34" s="161">
        <f t="shared" si="2"/>
        <v>0</v>
      </c>
      <c r="H34" s="161">
        <f t="shared" si="2"/>
        <v>0</v>
      </c>
      <c r="I34" s="161">
        <f t="shared" si="2"/>
        <v>0</v>
      </c>
      <c r="J34" s="161">
        <f t="shared" si="2"/>
        <v>0</v>
      </c>
      <c r="K34" s="162">
        <f t="shared" si="2"/>
        <v>0</v>
      </c>
      <c r="L34" s="162">
        <f>SUM(L32:L33)</f>
        <v>0</v>
      </c>
      <c r="M34" s="162">
        <f>SUM(M32:M33)</f>
        <v>0</v>
      </c>
      <c r="N34" s="162"/>
      <c r="O34" s="162"/>
      <c r="P34" s="163">
        <f>SUM(P32:P33)</f>
        <v>0</v>
      </c>
      <c r="Q34" s="164"/>
      <c r="R34" s="161">
        <f>SUM(R32:R33)</f>
        <v>0</v>
      </c>
      <c r="S34" s="165">
        <f>SUM(S32:S33)</f>
        <v>0</v>
      </c>
      <c r="T34" s="163">
        <f>SUM(T32:T33)</f>
        <v>0</v>
      </c>
      <c r="U34" s="165">
        <f>SUM(U32:U33)</f>
        <v>0</v>
      </c>
    </row>
    <row r="35" spans="3:21" ht="12.75">
      <c r="C35" s="154"/>
      <c r="D35" s="154"/>
      <c r="E35" s="154"/>
      <c r="F35" s="154"/>
      <c r="G35" s="154"/>
      <c r="H35" s="154"/>
      <c r="I35" s="154"/>
      <c r="J35" s="154"/>
      <c r="K35" s="154"/>
      <c r="L35" s="154"/>
      <c r="M35" s="154"/>
      <c r="N35" s="154"/>
      <c r="O35" s="154"/>
      <c r="P35" s="154"/>
      <c r="Q35" s="154"/>
      <c r="R35" s="154"/>
      <c r="S35" s="156"/>
      <c r="T35" s="156"/>
      <c r="U35" s="157"/>
    </row>
    <row r="36" spans="1:21" ht="12.75">
      <c r="A36" s="1" t="s">
        <v>297</v>
      </c>
      <c r="C36" s="154"/>
      <c r="D36" s="154"/>
      <c r="E36" s="154"/>
      <c r="F36" s="154"/>
      <c r="G36" s="154"/>
      <c r="H36" s="154"/>
      <c r="I36" s="154"/>
      <c r="J36" s="154"/>
      <c r="K36" s="154"/>
      <c r="L36" s="154"/>
      <c r="M36" s="154"/>
      <c r="N36" s="154"/>
      <c r="O36" s="154"/>
      <c r="P36" s="154"/>
      <c r="Q36" s="154"/>
      <c r="R36" s="154"/>
      <c r="S36" s="156"/>
      <c r="T36" s="156"/>
      <c r="U36" s="157"/>
    </row>
    <row r="37" spans="2:21" ht="12.75">
      <c r="B37" s="126" t="s">
        <v>298</v>
      </c>
      <c r="C37" s="154"/>
      <c r="D37" s="154"/>
      <c r="E37" s="154"/>
      <c r="F37" s="154"/>
      <c r="G37" s="154"/>
      <c r="H37" s="154"/>
      <c r="I37" s="154"/>
      <c r="J37" s="154"/>
      <c r="K37" s="154"/>
      <c r="L37" s="154"/>
      <c r="M37" s="154"/>
      <c r="N37" s="154"/>
      <c r="O37" s="154"/>
      <c r="P37" s="154"/>
      <c r="Q37" s="154"/>
      <c r="R37" s="154"/>
      <c r="S37" s="156"/>
      <c r="T37" s="156"/>
      <c r="U37" s="157"/>
    </row>
    <row r="38" spans="2:21" ht="12.75">
      <c r="B38" s="126" t="s">
        <v>299</v>
      </c>
      <c r="C38" s="154"/>
      <c r="D38" s="154"/>
      <c r="E38" s="158"/>
      <c r="F38" s="158"/>
      <c r="G38" s="154"/>
      <c r="H38" s="154"/>
      <c r="I38" s="154"/>
      <c r="J38" s="154"/>
      <c r="K38" s="158"/>
      <c r="L38" s="158"/>
      <c r="M38" s="158"/>
      <c r="N38" s="158"/>
      <c r="O38" s="158"/>
      <c r="P38" s="154"/>
      <c r="Q38" s="154"/>
      <c r="R38" s="154">
        <f>C38+D38+G38+H38+I38+J38</f>
        <v>0</v>
      </c>
      <c r="S38" s="154">
        <f>E38+K38+L38+M38</f>
        <v>0</v>
      </c>
      <c r="T38" s="180">
        <f>P38</f>
        <v>0</v>
      </c>
      <c r="U38" s="160">
        <f>SUM(R38:T38)</f>
        <v>0</v>
      </c>
    </row>
    <row r="39" spans="2:21" ht="12.75">
      <c r="B39" s="126" t="s">
        <v>300</v>
      </c>
      <c r="C39" s="154"/>
      <c r="D39" s="154"/>
      <c r="E39" s="158"/>
      <c r="F39" s="158"/>
      <c r="G39" s="154"/>
      <c r="H39" s="154"/>
      <c r="I39" s="154"/>
      <c r="J39" s="154"/>
      <c r="K39" s="158"/>
      <c r="L39" s="158"/>
      <c r="M39" s="158"/>
      <c r="N39" s="158"/>
      <c r="O39" s="158"/>
      <c r="P39" s="154"/>
      <c r="Q39" s="154"/>
      <c r="R39" s="154">
        <f aca="true" t="shared" si="3" ref="R39:R49">C39+D39+G39+H39+I39+J39</f>
        <v>0</v>
      </c>
      <c r="S39" s="154">
        <f aca="true" t="shared" si="4" ref="S39:S49">E39+K39+L39+M39</f>
        <v>0</v>
      </c>
      <c r="T39" s="180">
        <f aca="true" t="shared" si="5" ref="T39:T49">P39</f>
        <v>0</v>
      </c>
      <c r="U39" s="160">
        <f aca="true" t="shared" si="6" ref="U39:U49">SUM(R39:T39)</f>
        <v>0</v>
      </c>
    </row>
    <row r="40" spans="2:21" ht="12.75">
      <c r="B40" s="126" t="s">
        <v>301</v>
      </c>
      <c r="C40" s="154"/>
      <c r="D40" s="154"/>
      <c r="E40" s="158"/>
      <c r="F40" s="158"/>
      <c r="G40" s="154"/>
      <c r="H40" s="154"/>
      <c r="I40" s="154"/>
      <c r="J40" s="154"/>
      <c r="K40" s="158"/>
      <c r="L40" s="158"/>
      <c r="M40" s="158"/>
      <c r="N40" s="158"/>
      <c r="O40" s="158"/>
      <c r="P40" s="154"/>
      <c r="Q40" s="154"/>
      <c r="R40" s="154">
        <f t="shared" si="3"/>
        <v>0</v>
      </c>
      <c r="S40" s="154">
        <f t="shared" si="4"/>
        <v>0</v>
      </c>
      <c r="T40" s="180">
        <f t="shared" si="5"/>
        <v>0</v>
      </c>
      <c r="U40" s="160">
        <f t="shared" si="6"/>
        <v>0</v>
      </c>
    </row>
    <row r="41" spans="2:21" ht="12.75">
      <c r="B41" s="126" t="s">
        <v>302</v>
      </c>
      <c r="C41" s="157"/>
      <c r="D41" s="157"/>
      <c r="E41" s="184"/>
      <c r="F41" s="184"/>
      <c r="G41" s="157"/>
      <c r="H41" s="157"/>
      <c r="I41" s="157"/>
      <c r="J41" s="157"/>
      <c r="K41" s="184"/>
      <c r="L41" s="184"/>
      <c r="M41" s="184"/>
      <c r="N41" s="184"/>
      <c r="O41" s="184"/>
      <c r="P41" s="157"/>
      <c r="Q41" s="157"/>
      <c r="R41" s="154">
        <f t="shared" si="3"/>
        <v>0</v>
      </c>
      <c r="S41" s="154">
        <f t="shared" si="4"/>
        <v>0</v>
      </c>
      <c r="T41" s="180">
        <f t="shared" si="5"/>
        <v>0</v>
      </c>
      <c r="U41" s="160">
        <f t="shared" si="6"/>
        <v>0</v>
      </c>
    </row>
    <row r="42" spans="2:21" ht="12.75">
      <c r="B42" s="126" t="s">
        <v>299</v>
      </c>
      <c r="C42" s="157"/>
      <c r="D42" s="154"/>
      <c r="E42" s="184"/>
      <c r="F42" s="184"/>
      <c r="G42" s="157"/>
      <c r="H42" s="154"/>
      <c r="I42" s="154"/>
      <c r="J42" s="157"/>
      <c r="K42" s="158"/>
      <c r="L42" s="158"/>
      <c r="M42" s="158"/>
      <c r="N42" s="158"/>
      <c r="O42" s="158"/>
      <c r="P42" s="154"/>
      <c r="Q42" s="157"/>
      <c r="R42" s="154">
        <f t="shared" si="3"/>
        <v>0</v>
      </c>
      <c r="S42" s="154">
        <f t="shared" si="4"/>
        <v>0</v>
      </c>
      <c r="T42" s="180">
        <f t="shared" si="5"/>
        <v>0</v>
      </c>
      <c r="U42" s="160">
        <f t="shared" si="6"/>
        <v>0</v>
      </c>
    </row>
    <row r="43" spans="2:21" ht="12.75">
      <c r="B43" s="126" t="s">
        <v>303</v>
      </c>
      <c r="C43" s="157"/>
      <c r="D43" s="157"/>
      <c r="E43" s="184"/>
      <c r="F43" s="184"/>
      <c r="G43" s="157"/>
      <c r="H43" s="157"/>
      <c r="I43" s="157"/>
      <c r="J43" s="157"/>
      <c r="K43" s="158"/>
      <c r="L43" s="158"/>
      <c r="M43" s="158"/>
      <c r="N43" s="158"/>
      <c r="O43" s="158"/>
      <c r="P43" s="154"/>
      <c r="Q43" s="157"/>
      <c r="R43" s="154">
        <f t="shared" si="3"/>
        <v>0</v>
      </c>
      <c r="S43" s="154">
        <f t="shared" si="4"/>
        <v>0</v>
      </c>
      <c r="T43" s="180">
        <f t="shared" si="5"/>
        <v>0</v>
      </c>
      <c r="U43" s="160">
        <f t="shared" si="6"/>
        <v>0</v>
      </c>
    </row>
    <row r="44" spans="2:100" ht="12.75">
      <c r="B44" s="126" t="s">
        <v>300</v>
      </c>
      <c r="C44" s="154"/>
      <c r="D44" s="154"/>
      <c r="E44" s="158"/>
      <c r="F44" s="158"/>
      <c r="G44" s="154"/>
      <c r="H44" s="154"/>
      <c r="I44" s="154"/>
      <c r="J44" s="154"/>
      <c r="K44" s="158"/>
      <c r="L44" s="158"/>
      <c r="M44" s="158"/>
      <c r="N44" s="158"/>
      <c r="O44" s="158"/>
      <c r="P44" s="154"/>
      <c r="Q44" s="154"/>
      <c r="R44" s="154">
        <f t="shared" si="3"/>
        <v>0</v>
      </c>
      <c r="S44" s="154">
        <f t="shared" si="4"/>
        <v>0</v>
      </c>
      <c r="T44" s="156">
        <f t="shared" si="5"/>
        <v>0</v>
      </c>
      <c r="U44" s="160">
        <f t="shared" si="6"/>
        <v>0</v>
      </c>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row>
    <row r="45" spans="2:100" ht="12.75">
      <c r="B45" s="126" t="s">
        <v>301</v>
      </c>
      <c r="C45" s="154"/>
      <c r="D45" s="154"/>
      <c r="E45" s="158"/>
      <c r="F45" s="158"/>
      <c r="G45" s="154"/>
      <c r="H45" s="154"/>
      <c r="I45" s="154"/>
      <c r="J45" s="154"/>
      <c r="K45" s="158"/>
      <c r="L45" s="158"/>
      <c r="M45" s="158"/>
      <c r="N45" s="158"/>
      <c r="O45" s="158"/>
      <c r="P45" s="154"/>
      <c r="Q45" s="154"/>
      <c r="R45" s="154">
        <f t="shared" si="3"/>
        <v>0</v>
      </c>
      <c r="S45" s="154">
        <f t="shared" si="4"/>
        <v>0</v>
      </c>
      <c r="T45" s="156">
        <f t="shared" si="5"/>
        <v>0</v>
      </c>
      <c r="U45" s="160">
        <f t="shared" si="6"/>
        <v>0</v>
      </c>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row>
    <row r="46" spans="2:100" ht="12.75">
      <c r="B46" s="126" t="s">
        <v>304</v>
      </c>
      <c r="C46" s="154"/>
      <c r="D46" s="154"/>
      <c r="E46" s="158"/>
      <c r="F46" s="158"/>
      <c r="G46" s="154"/>
      <c r="H46" s="154"/>
      <c r="I46" s="154"/>
      <c r="J46" s="154"/>
      <c r="K46" s="158"/>
      <c r="L46" s="158"/>
      <c r="M46" s="158"/>
      <c r="N46" s="158"/>
      <c r="O46" s="158"/>
      <c r="P46" s="154"/>
      <c r="Q46" s="154"/>
      <c r="R46" s="154">
        <f t="shared" si="3"/>
        <v>0</v>
      </c>
      <c r="S46" s="154">
        <f t="shared" si="4"/>
        <v>0</v>
      </c>
      <c r="T46" s="156">
        <f t="shared" si="5"/>
        <v>0</v>
      </c>
      <c r="U46" s="160">
        <f t="shared" si="6"/>
        <v>0</v>
      </c>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row>
    <row r="47" spans="2:100" ht="12.75">
      <c r="B47" s="126" t="s">
        <v>305</v>
      </c>
      <c r="C47" s="156"/>
      <c r="D47" s="185"/>
      <c r="E47" s="186"/>
      <c r="F47" s="186"/>
      <c r="G47" s="156"/>
      <c r="H47" s="156"/>
      <c r="I47" s="156"/>
      <c r="J47" s="156"/>
      <c r="K47" s="186"/>
      <c r="L47" s="186"/>
      <c r="M47" s="186"/>
      <c r="N47" s="186"/>
      <c r="O47" s="186"/>
      <c r="P47" s="156"/>
      <c r="Q47" s="156"/>
      <c r="R47" s="185">
        <f t="shared" si="3"/>
        <v>0</v>
      </c>
      <c r="S47" s="154">
        <f t="shared" si="4"/>
        <v>0</v>
      </c>
      <c r="T47" s="156">
        <f t="shared" si="5"/>
        <v>0</v>
      </c>
      <c r="U47" s="187">
        <f t="shared" si="6"/>
        <v>0</v>
      </c>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6"/>
      <c r="CV47" s="156"/>
    </row>
    <row r="48" spans="2:100" ht="12.75">
      <c r="B48" s="126" t="s">
        <v>306</v>
      </c>
      <c r="C48" s="156"/>
      <c r="D48" s="156"/>
      <c r="E48" s="186"/>
      <c r="F48" s="186"/>
      <c r="G48" s="156"/>
      <c r="H48" s="156"/>
      <c r="I48" s="156"/>
      <c r="J48" s="156"/>
      <c r="K48" s="186"/>
      <c r="L48" s="186"/>
      <c r="M48" s="186"/>
      <c r="N48" s="186"/>
      <c r="O48" s="186"/>
      <c r="P48" s="156"/>
      <c r="Q48" s="156"/>
      <c r="R48" s="154">
        <f t="shared" si="3"/>
        <v>0</v>
      </c>
      <c r="S48" s="154">
        <f t="shared" si="4"/>
        <v>0</v>
      </c>
      <c r="T48" s="156">
        <f t="shared" si="5"/>
        <v>0</v>
      </c>
      <c r="U48" s="160">
        <f t="shared" si="6"/>
        <v>0</v>
      </c>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row>
    <row r="49" spans="2:100" ht="12.75">
      <c r="B49" s="126" t="s">
        <v>307</v>
      </c>
      <c r="C49" s="156"/>
      <c r="D49" s="154"/>
      <c r="E49" s="158"/>
      <c r="F49" s="158"/>
      <c r="G49" s="156"/>
      <c r="H49" s="156"/>
      <c r="I49" s="156"/>
      <c r="J49" s="156"/>
      <c r="K49" s="186"/>
      <c r="L49" s="186"/>
      <c r="M49" s="186"/>
      <c r="N49" s="186"/>
      <c r="O49" s="186"/>
      <c r="P49" s="156"/>
      <c r="Q49" s="156"/>
      <c r="R49" s="154">
        <f t="shared" si="3"/>
        <v>0</v>
      </c>
      <c r="S49" s="154">
        <f t="shared" si="4"/>
        <v>0</v>
      </c>
      <c r="T49" s="156">
        <f t="shared" si="5"/>
        <v>0</v>
      </c>
      <c r="U49" s="160">
        <f t="shared" si="6"/>
        <v>0</v>
      </c>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row>
    <row r="50" spans="3:21" ht="12.75">
      <c r="C50" s="188">
        <f aca="true" t="shared" si="7" ref="C50:U50">SUM(C37:C49)</f>
        <v>0</v>
      </c>
      <c r="D50" s="188">
        <f t="shared" si="7"/>
        <v>0</v>
      </c>
      <c r="E50" s="189">
        <f t="shared" si="7"/>
        <v>0</v>
      </c>
      <c r="F50" s="189"/>
      <c r="G50" s="188">
        <f t="shared" si="7"/>
        <v>0</v>
      </c>
      <c r="H50" s="188">
        <f t="shared" si="7"/>
        <v>0</v>
      </c>
      <c r="I50" s="188">
        <f t="shared" si="7"/>
        <v>0</v>
      </c>
      <c r="J50" s="188">
        <f t="shared" si="7"/>
        <v>0</v>
      </c>
      <c r="K50" s="189">
        <f t="shared" si="7"/>
        <v>0</v>
      </c>
      <c r="L50" s="189">
        <f t="shared" si="7"/>
        <v>0</v>
      </c>
      <c r="M50" s="189">
        <f t="shared" si="7"/>
        <v>0</v>
      </c>
      <c r="N50" s="189"/>
      <c r="O50" s="189"/>
      <c r="P50" s="188">
        <f t="shared" si="7"/>
        <v>0</v>
      </c>
      <c r="Q50" s="188">
        <f t="shared" si="7"/>
        <v>0</v>
      </c>
      <c r="R50" s="188">
        <f t="shared" si="7"/>
        <v>0</v>
      </c>
      <c r="S50" s="188">
        <f t="shared" si="7"/>
        <v>0</v>
      </c>
      <c r="T50" s="188">
        <f t="shared" si="7"/>
        <v>0</v>
      </c>
      <c r="U50" s="188">
        <f t="shared" si="7"/>
        <v>0</v>
      </c>
    </row>
    <row r="53" spans="1:20" ht="12.75">
      <c r="A53" s="128" t="s">
        <v>262</v>
      </c>
      <c r="B53" s="129"/>
      <c r="C53" s="129"/>
      <c r="D53" s="130"/>
      <c r="E53" s="130"/>
      <c r="F53" s="130"/>
      <c r="G53" s="130"/>
      <c r="H53" s="130"/>
      <c r="I53" s="130"/>
      <c r="J53" s="130"/>
      <c r="K53" s="130"/>
      <c r="L53" s="131"/>
      <c r="M53" s="131"/>
      <c r="N53" s="131"/>
      <c r="O53" s="131"/>
      <c r="P53" s="131"/>
      <c r="Q53" s="132"/>
      <c r="R53" s="133"/>
      <c r="S53" s="134"/>
      <c r="T53" s="134"/>
    </row>
    <row r="54" spans="1:21" ht="13.5">
      <c r="A54" s="128" t="s">
        <v>308</v>
      </c>
      <c r="B54" s="129"/>
      <c r="C54" s="129"/>
      <c r="D54" s="130"/>
      <c r="E54" s="130"/>
      <c r="F54" s="130"/>
      <c r="G54" s="130"/>
      <c r="H54" s="130"/>
      <c r="I54" s="130"/>
      <c r="J54" s="130"/>
      <c r="K54" s="130"/>
      <c r="L54" s="135" t="s">
        <v>264</v>
      </c>
      <c r="M54" s="131"/>
      <c r="N54" s="131"/>
      <c r="O54" s="131"/>
      <c r="P54" s="131"/>
      <c r="Q54" s="132"/>
      <c r="R54" s="209" t="s">
        <v>265</v>
      </c>
      <c r="S54" s="210"/>
      <c r="T54" s="210"/>
      <c r="U54" s="210"/>
    </row>
    <row r="55" spans="1:21" ht="12.75">
      <c r="A55" s="136"/>
      <c r="C55" s="137" t="s">
        <v>266</v>
      </c>
      <c r="D55" s="211" t="s">
        <v>267</v>
      </c>
      <c r="E55" s="211"/>
      <c r="F55" s="137"/>
      <c r="G55" s="138" t="s">
        <v>268</v>
      </c>
      <c r="H55" s="138" t="s">
        <v>269</v>
      </c>
      <c r="I55" s="138" t="s">
        <v>270</v>
      </c>
      <c r="J55" s="138" t="s">
        <v>271</v>
      </c>
      <c r="K55" s="139" t="s">
        <v>272</v>
      </c>
      <c r="L55" s="139" t="s">
        <v>273</v>
      </c>
      <c r="M55" s="140" t="s">
        <v>274</v>
      </c>
      <c r="N55" s="140"/>
      <c r="O55" s="140"/>
      <c r="P55" s="141" t="s">
        <v>275</v>
      </c>
      <c r="Q55" s="142"/>
      <c r="R55" s="143" t="s">
        <v>276</v>
      </c>
      <c r="S55" s="144" t="s">
        <v>264</v>
      </c>
      <c r="T55" s="145" t="s">
        <v>275</v>
      </c>
      <c r="U55" s="146" t="s">
        <v>27</v>
      </c>
    </row>
    <row r="56" spans="1:17" ht="12.75">
      <c r="A56" s="136"/>
      <c r="B56" s="147"/>
      <c r="C56" s="148"/>
      <c r="D56" s="149" t="s">
        <v>276</v>
      </c>
      <c r="E56" s="150" t="s">
        <v>277</v>
      </c>
      <c r="F56" s="150"/>
      <c r="G56" s="148"/>
      <c r="H56" s="151"/>
      <c r="I56" s="152"/>
      <c r="J56" s="131"/>
      <c r="K56" s="131"/>
      <c r="L56" s="133"/>
      <c r="M56" s="133"/>
      <c r="N56" s="133"/>
      <c r="O56" s="133"/>
      <c r="P56" s="133"/>
      <c r="Q56" s="153"/>
    </row>
    <row r="57" spans="1:17" ht="12.75">
      <c r="A57" s="136"/>
      <c r="B57" s="147"/>
      <c r="C57" s="148"/>
      <c r="D57" s="134"/>
      <c r="E57" s="134"/>
      <c r="F57" s="134"/>
      <c r="G57" s="148"/>
      <c r="H57" s="151"/>
      <c r="I57" s="152"/>
      <c r="J57" s="131"/>
      <c r="K57" s="131"/>
      <c r="L57" s="133"/>
      <c r="M57" s="133"/>
      <c r="N57" s="133"/>
      <c r="O57" s="133"/>
      <c r="P57" s="133"/>
      <c r="Q57" s="153"/>
    </row>
    <row r="58" spans="1:21" ht="12.75">
      <c r="A58" s="1" t="s">
        <v>3</v>
      </c>
      <c r="C58" s="154"/>
      <c r="D58" s="154"/>
      <c r="E58" s="154"/>
      <c r="F58" s="154"/>
      <c r="G58" s="154"/>
      <c r="H58" s="154"/>
      <c r="I58" s="154"/>
      <c r="J58" s="154"/>
      <c r="K58" s="154"/>
      <c r="L58" s="154"/>
      <c r="M58" s="154"/>
      <c r="N58" s="154"/>
      <c r="O58" s="154"/>
      <c r="P58" s="154"/>
      <c r="Q58" s="155"/>
      <c r="R58" s="154"/>
      <c r="S58" s="156"/>
      <c r="T58" s="156"/>
      <c r="U58" s="157"/>
    </row>
    <row r="59" spans="2:21" ht="12.75">
      <c r="B59" s="126" t="s">
        <v>278</v>
      </c>
      <c r="C59" s="154"/>
      <c r="D59" s="154"/>
      <c r="E59" s="154"/>
      <c r="F59" s="154"/>
      <c r="G59" s="154"/>
      <c r="H59" s="154"/>
      <c r="I59" s="154"/>
      <c r="J59" s="154"/>
      <c r="K59" s="154"/>
      <c r="L59" s="154"/>
      <c r="M59" s="154"/>
      <c r="N59" s="154"/>
      <c r="O59" s="154"/>
      <c r="P59" s="154"/>
      <c r="Q59" s="155"/>
      <c r="R59" s="154"/>
      <c r="S59" s="156"/>
      <c r="T59" s="156"/>
      <c r="U59" s="157"/>
    </row>
    <row r="60" spans="2:21" ht="12.75">
      <c r="B60" s="126" t="s">
        <v>279</v>
      </c>
      <c r="C60" s="154"/>
      <c r="D60" s="154">
        <f>47507717.25-E60</f>
        <v>37964079.7</v>
      </c>
      <c r="E60" s="158">
        <v>9543637.55</v>
      </c>
      <c r="F60" s="158"/>
      <c r="G60" s="154"/>
      <c r="H60" s="154"/>
      <c r="I60" s="154"/>
      <c r="J60" s="154"/>
      <c r="K60" s="154"/>
      <c r="L60" s="158"/>
      <c r="M60" s="154"/>
      <c r="N60" s="154"/>
      <c r="O60" s="154"/>
      <c r="P60" s="154"/>
      <c r="Q60" s="155"/>
      <c r="R60" s="154">
        <f>C60+D60+G60+H60+I60+J60</f>
        <v>37964079.7</v>
      </c>
      <c r="S60" s="154">
        <f>E60+K60+L60+M60</f>
        <v>9543637.55</v>
      </c>
      <c r="T60" s="159">
        <f>P60</f>
        <v>0</v>
      </c>
      <c r="U60" s="160">
        <f>SUM(R60:T60)</f>
        <v>47507717.25</v>
      </c>
    </row>
    <row r="61" spans="2:21" ht="12.75">
      <c r="B61" s="126" t="s">
        <v>280</v>
      </c>
      <c r="C61" s="154"/>
      <c r="D61" s="154">
        <f>2942102.45+350628.69</f>
        <v>3292731.14</v>
      </c>
      <c r="E61" s="158"/>
      <c r="F61" s="158"/>
      <c r="G61" s="154"/>
      <c r="H61" s="154"/>
      <c r="I61" s="154"/>
      <c r="J61" s="154"/>
      <c r="K61" s="154"/>
      <c r="L61" s="158"/>
      <c r="M61" s="154"/>
      <c r="N61" s="154"/>
      <c r="O61" s="154"/>
      <c r="P61" s="159"/>
      <c r="Q61" s="155"/>
      <c r="R61" s="154">
        <f>C61+D61+G61+H61+I61+J61</f>
        <v>3292731.14</v>
      </c>
      <c r="S61" s="154">
        <f>E61+K61+L61+M61</f>
        <v>0</v>
      </c>
      <c r="T61" s="159">
        <f>P61</f>
        <v>0</v>
      </c>
      <c r="U61" s="160">
        <f>SUM(R61:T61)</f>
        <v>3292731.14</v>
      </c>
    </row>
    <row r="62" spans="2:21" ht="12.75">
      <c r="B62" s="126" t="s">
        <v>281</v>
      </c>
      <c r="C62" s="154"/>
      <c r="D62" s="154"/>
      <c r="E62" s="158"/>
      <c r="F62" s="158"/>
      <c r="G62" s="154"/>
      <c r="H62" s="159"/>
      <c r="I62" s="154"/>
      <c r="J62" s="154"/>
      <c r="K62" s="154"/>
      <c r="L62" s="158"/>
      <c r="M62" s="154"/>
      <c r="N62" s="154"/>
      <c r="O62" s="154"/>
      <c r="P62" s="159"/>
      <c r="Q62" s="155"/>
      <c r="R62" s="154">
        <f>C62+D62+G62+H62+I62+J62</f>
        <v>0</v>
      </c>
      <c r="S62" s="154">
        <f>E62+K62+L62+M62</f>
        <v>0</v>
      </c>
      <c r="T62" s="159">
        <f>P62</f>
        <v>0</v>
      </c>
      <c r="U62" s="160">
        <f>SUM(R62:T62)</f>
        <v>0</v>
      </c>
    </row>
    <row r="63" spans="3:21" ht="12.75">
      <c r="C63" s="161">
        <f aca="true" t="shared" si="8" ref="C63:P63">SUM(C59:C62)</f>
        <v>0</v>
      </c>
      <c r="D63" s="161">
        <f t="shared" si="8"/>
        <v>41256810.84</v>
      </c>
      <c r="E63" s="162">
        <f t="shared" si="8"/>
        <v>9543637.55</v>
      </c>
      <c r="F63" s="162"/>
      <c r="G63" s="161">
        <f t="shared" si="8"/>
        <v>0</v>
      </c>
      <c r="H63" s="161">
        <f t="shared" si="8"/>
        <v>0</v>
      </c>
      <c r="I63" s="161">
        <f t="shared" si="8"/>
        <v>0</v>
      </c>
      <c r="J63" s="161">
        <f t="shared" si="8"/>
        <v>0</v>
      </c>
      <c r="K63" s="161">
        <f t="shared" si="8"/>
        <v>0</v>
      </c>
      <c r="L63" s="162">
        <f t="shared" si="8"/>
        <v>0</v>
      </c>
      <c r="M63" s="161">
        <f t="shared" si="8"/>
        <v>0</v>
      </c>
      <c r="N63" s="161"/>
      <c r="O63" s="161"/>
      <c r="P63" s="163">
        <f t="shared" si="8"/>
        <v>0</v>
      </c>
      <c r="Q63" s="164"/>
      <c r="R63" s="161">
        <f>SUM(R59:R62)</f>
        <v>41256810.84</v>
      </c>
      <c r="S63" s="165">
        <f>SUM(S59:S62)</f>
        <v>9543637.55</v>
      </c>
      <c r="T63" s="163">
        <f>SUM(T59:T62)</f>
        <v>0</v>
      </c>
      <c r="U63" s="165">
        <f>SUM(U59:U62)</f>
        <v>50800448.39</v>
      </c>
    </row>
    <row r="64" spans="3:21" ht="12.75">
      <c r="C64" s="166"/>
      <c r="D64" s="166"/>
      <c r="E64" s="166"/>
      <c r="F64" s="166"/>
      <c r="G64" s="166"/>
      <c r="H64" s="166"/>
      <c r="I64" s="166"/>
      <c r="J64" s="166"/>
      <c r="K64" s="166"/>
      <c r="L64" s="166"/>
      <c r="M64" s="166"/>
      <c r="N64" s="166"/>
      <c r="O64" s="166"/>
      <c r="P64" s="166"/>
      <c r="Q64" s="167"/>
      <c r="R64" s="166"/>
      <c r="S64" s="156"/>
      <c r="T64" s="156"/>
      <c r="U64" s="157"/>
    </row>
    <row r="65" spans="3:21" ht="12.75">
      <c r="C65" s="166"/>
      <c r="D65" s="166"/>
      <c r="E65" s="166">
        <f>D63+E63</f>
        <v>50800448.39</v>
      </c>
      <c r="F65" s="166"/>
      <c r="G65" s="166"/>
      <c r="H65" s="166"/>
      <c r="I65" s="166"/>
      <c r="J65" s="166"/>
      <c r="K65" s="166"/>
      <c r="L65" s="166"/>
      <c r="M65" s="166"/>
      <c r="N65" s="166"/>
      <c r="O65" s="166"/>
      <c r="P65" s="166"/>
      <c r="Q65" s="167"/>
      <c r="R65" s="166"/>
      <c r="S65" s="156"/>
      <c r="T65" s="156"/>
      <c r="U65" s="157"/>
    </row>
    <row r="66" spans="3:21" ht="12.75">
      <c r="C66" s="154"/>
      <c r="D66" s="154"/>
      <c r="E66" s="154"/>
      <c r="F66" s="154"/>
      <c r="G66" s="154"/>
      <c r="H66" s="154"/>
      <c r="I66" s="154"/>
      <c r="J66" s="154"/>
      <c r="K66" s="154"/>
      <c r="L66" s="154"/>
      <c r="M66" s="154"/>
      <c r="N66" s="154"/>
      <c r="O66" s="154"/>
      <c r="P66" s="154"/>
      <c r="Q66" s="155"/>
      <c r="R66" s="154"/>
      <c r="S66" s="156"/>
      <c r="T66" s="156"/>
      <c r="U66" s="157"/>
    </row>
    <row r="67" spans="1:21" ht="12.75">
      <c r="A67" s="1" t="s">
        <v>282</v>
      </c>
      <c r="C67" s="154"/>
      <c r="D67" s="154"/>
      <c r="E67" s="154"/>
      <c r="F67" s="154"/>
      <c r="G67" s="154"/>
      <c r="H67" s="154"/>
      <c r="I67" s="154"/>
      <c r="J67" s="154"/>
      <c r="K67" s="154"/>
      <c r="L67" s="154"/>
      <c r="M67" s="154"/>
      <c r="N67" s="154"/>
      <c r="O67" s="154"/>
      <c r="P67" s="154"/>
      <c r="Q67" s="155"/>
      <c r="R67" s="154"/>
      <c r="S67" s="156"/>
      <c r="T67" s="156"/>
      <c r="U67" s="160"/>
    </row>
    <row r="68" spans="2:21" ht="12.75">
      <c r="B68" s="126" t="s">
        <v>283</v>
      </c>
      <c r="C68" s="159">
        <v>21292307.45</v>
      </c>
      <c r="D68" s="154">
        <f>5669308.06+76878.76-E68</f>
        <v>3329801.3199999994</v>
      </c>
      <c r="E68" s="158">
        <v>2416385.5</v>
      </c>
      <c r="F68" s="158"/>
      <c r="G68" s="154">
        <v>917535.79</v>
      </c>
      <c r="H68" s="159">
        <v>-61109.98</v>
      </c>
      <c r="I68" s="159"/>
      <c r="J68" s="159">
        <v>0</v>
      </c>
      <c r="K68" s="168">
        <v>-235954.41</v>
      </c>
      <c r="L68" s="168">
        <v>-144434.3</v>
      </c>
      <c r="M68" s="168"/>
      <c r="N68" s="168"/>
      <c r="O68" s="168"/>
      <c r="P68" s="159">
        <v>-21600000</v>
      </c>
      <c r="Q68" s="169"/>
      <c r="R68" s="154">
        <f>C68+D68+G68+H68+I68+J68</f>
        <v>25478534.58</v>
      </c>
      <c r="S68" s="154">
        <f>E68+K68+L68+M68</f>
        <v>2035996.7899999998</v>
      </c>
      <c r="T68" s="156">
        <f>P68</f>
        <v>-21600000</v>
      </c>
      <c r="U68" s="160">
        <f>SUM(R68:T68)</f>
        <v>5914531.369999997</v>
      </c>
    </row>
    <row r="69" spans="2:21" ht="12.75">
      <c r="B69" s="126" t="s">
        <v>284</v>
      </c>
      <c r="C69" s="154"/>
      <c r="D69" s="154"/>
      <c r="E69" s="154"/>
      <c r="F69" s="154"/>
      <c r="G69" s="154"/>
      <c r="H69" s="154"/>
      <c r="I69" s="154"/>
      <c r="J69" s="154"/>
      <c r="K69" s="154"/>
      <c r="L69" s="154"/>
      <c r="M69" s="154"/>
      <c r="N69" s="154"/>
      <c r="O69" s="154"/>
      <c r="P69" s="154"/>
      <c r="Q69" s="155"/>
      <c r="R69" s="154">
        <f>C69+D69+G69+H69+I69+J69</f>
        <v>0</v>
      </c>
      <c r="S69" s="154">
        <f>E69+K69+L69+M69</f>
        <v>0</v>
      </c>
      <c r="T69" s="156"/>
      <c r="U69" s="160">
        <f>SUM(R69:T69)</f>
        <v>0</v>
      </c>
    </row>
    <row r="70" spans="2:21" ht="12.75">
      <c r="B70" s="126" t="s">
        <v>285</v>
      </c>
      <c r="C70" s="170"/>
      <c r="D70" s="170">
        <v>-76878.76</v>
      </c>
      <c r="E70" s="170"/>
      <c r="F70" s="170"/>
      <c r="G70" s="170"/>
      <c r="H70" s="170"/>
      <c r="I70" s="170"/>
      <c r="J70" s="170"/>
      <c r="K70" s="171"/>
      <c r="L70" s="170"/>
      <c r="M70" s="170"/>
      <c r="N70" s="170"/>
      <c r="O70" s="170"/>
      <c r="P70" s="170"/>
      <c r="Q70" s="172"/>
      <c r="R70" s="170">
        <f>C70+D70+G70+H70+I70+J70</f>
        <v>-76878.76</v>
      </c>
      <c r="S70" s="170">
        <f>E70+K70+L70+M70</f>
        <v>0</v>
      </c>
      <c r="T70" s="173"/>
      <c r="U70" s="174">
        <f>SUM(R70:T70)</f>
        <v>-76878.76</v>
      </c>
    </row>
    <row r="71" spans="2:21" ht="12.75">
      <c r="B71" s="126" t="s">
        <v>286</v>
      </c>
      <c r="C71" s="154">
        <f aca="true" t="shared" si="9" ref="C71:P71">SUM(C68:C70)</f>
        <v>21292307.45</v>
      </c>
      <c r="D71" s="154">
        <f t="shared" si="9"/>
        <v>3252922.5599999996</v>
      </c>
      <c r="E71" s="154">
        <f t="shared" si="9"/>
        <v>2416385.5</v>
      </c>
      <c r="F71" s="154"/>
      <c r="G71" s="154">
        <f t="shared" si="9"/>
        <v>917535.79</v>
      </c>
      <c r="H71" s="154">
        <f t="shared" si="9"/>
        <v>-61109.98</v>
      </c>
      <c r="I71" s="154">
        <f t="shared" si="9"/>
        <v>0</v>
      </c>
      <c r="J71" s="154">
        <f t="shared" si="9"/>
        <v>0</v>
      </c>
      <c r="K71" s="154">
        <f t="shared" si="9"/>
        <v>-235954.41</v>
      </c>
      <c r="L71" s="154">
        <f t="shared" si="9"/>
        <v>-144434.3</v>
      </c>
      <c r="M71" s="154">
        <f t="shared" si="9"/>
        <v>0</v>
      </c>
      <c r="N71" s="154"/>
      <c r="O71" s="154"/>
      <c r="P71" s="154">
        <f t="shared" si="9"/>
        <v>-21600000</v>
      </c>
      <c r="Q71" s="155"/>
      <c r="R71" s="154">
        <f>SUM(R68:R70)</f>
        <v>25401655.819999997</v>
      </c>
      <c r="S71" s="176">
        <f>SUM(S68:S70)</f>
        <v>2035996.7899999998</v>
      </c>
      <c r="T71" s="154">
        <f>SUM(T68:T70)</f>
        <v>-21600000</v>
      </c>
      <c r="U71" s="160">
        <f>SUM(U67:U70)</f>
        <v>5837652.609999998</v>
      </c>
    </row>
    <row r="72" spans="2:21" ht="12.75">
      <c r="B72" s="126" t="s">
        <v>287</v>
      </c>
      <c r="C72" s="154"/>
      <c r="D72" s="154"/>
      <c r="E72" s="154"/>
      <c r="F72" s="154"/>
      <c r="G72" s="154"/>
      <c r="H72" s="154"/>
      <c r="I72" s="154"/>
      <c r="J72" s="154"/>
      <c r="K72" s="154"/>
      <c r="L72" s="154"/>
      <c r="M72" s="154"/>
      <c r="N72" s="154"/>
      <c r="O72" s="154"/>
      <c r="P72" s="154"/>
      <c r="Q72" s="155"/>
      <c r="R72" s="154"/>
      <c r="S72" s="156"/>
      <c r="T72" s="156"/>
      <c r="U72" s="177">
        <f>155000-1939848</f>
        <v>-1784848</v>
      </c>
    </row>
    <row r="73" spans="2:21" ht="12.75">
      <c r="B73" s="126" t="s">
        <v>288</v>
      </c>
      <c r="C73" s="154"/>
      <c r="D73" s="154"/>
      <c r="E73" s="154"/>
      <c r="F73" s="154"/>
      <c r="G73" s="154"/>
      <c r="H73" s="154"/>
      <c r="I73" s="154"/>
      <c r="J73" s="154"/>
      <c r="K73" s="154"/>
      <c r="L73" s="154"/>
      <c r="M73" s="154"/>
      <c r="N73" s="154"/>
      <c r="O73" s="154"/>
      <c r="P73" s="154"/>
      <c r="Q73" s="155"/>
      <c r="R73" s="161"/>
      <c r="S73" s="178"/>
      <c r="T73" s="178"/>
      <c r="U73" s="179">
        <f>SUM(U71:U72)</f>
        <v>4052804.6099999975</v>
      </c>
    </row>
    <row r="74" spans="3:21" ht="12.75">
      <c r="C74" s="154"/>
      <c r="D74" s="154"/>
      <c r="E74" s="154"/>
      <c r="F74" s="154"/>
      <c r="G74" s="154"/>
      <c r="H74" s="154"/>
      <c r="I74" s="154"/>
      <c r="J74" s="154"/>
      <c r="K74" s="154"/>
      <c r="L74" s="154"/>
      <c r="M74" s="154"/>
      <c r="N74" s="154"/>
      <c r="O74" s="154"/>
      <c r="P74" s="154"/>
      <c r="Q74" s="155"/>
      <c r="R74" s="154"/>
      <c r="S74" s="156"/>
      <c r="T74" s="156"/>
      <c r="U74" s="157"/>
    </row>
    <row r="75" spans="1:21" ht="12.75">
      <c r="A75" s="1" t="s">
        <v>289</v>
      </c>
      <c r="C75" s="154"/>
      <c r="D75" s="154"/>
      <c r="E75" s="154"/>
      <c r="F75" s="154"/>
      <c r="G75" s="154"/>
      <c r="H75" s="154"/>
      <c r="I75" s="154"/>
      <c r="J75" s="154"/>
      <c r="K75" s="154"/>
      <c r="L75" s="154"/>
      <c r="M75" s="154"/>
      <c r="N75" s="154"/>
      <c r="O75" s="154"/>
      <c r="P75" s="154"/>
      <c r="Q75" s="155"/>
      <c r="R75" s="154"/>
      <c r="S75" s="156"/>
      <c r="T75" s="156"/>
      <c r="U75" s="157"/>
    </row>
    <row r="76" spans="2:21" ht="12.75">
      <c r="B76" s="126" t="s">
        <v>290</v>
      </c>
      <c r="C76" s="154"/>
      <c r="D76" s="154"/>
      <c r="E76" s="154"/>
      <c r="F76" s="154"/>
      <c r="G76" s="154"/>
      <c r="H76" s="154"/>
      <c r="I76" s="154"/>
      <c r="J76" s="154"/>
      <c r="K76" s="154"/>
      <c r="L76" s="154"/>
      <c r="M76" s="154"/>
      <c r="N76" s="154"/>
      <c r="O76" s="154"/>
      <c r="P76" s="154"/>
      <c r="Q76" s="155"/>
      <c r="R76" s="154"/>
      <c r="S76" s="156"/>
      <c r="T76" s="156"/>
      <c r="U76" s="157"/>
    </row>
    <row r="77" spans="2:21" ht="12.75">
      <c r="B77" s="126" t="s">
        <v>291</v>
      </c>
      <c r="C77" s="154"/>
      <c r="D77" s="154"/>
      <c r="E77" s="158"/>
      <c r="F77" s="158"/>
      <c r="G77" s="154"/>
      <c r="H77" s="154"/>
      <c r="I77" s="154"/>
      <c r="J77" s="154"/>
      <c r="K77" s="158"/>
      <c r="L77" s="158"/>
      <c r="M77" s="158"/>
      <c r="N77" s="158"/>
      <c r="O77" s="158"/>
      <c r="P77" s="154"/>
      <c r="Q77" s="155"/>
      <c r="R77" s="154">
        <f>C77+D77+G77+H77+I77+J77</f>
        <v>0</v>
      </c>
      <c r="S77" s="154">
        <f>E77+K77+L77+M77</f>
        <v>0</v>
      </c>
      <c r="T77" s="180">
        <f>P77</f>
        <v>0</v>
      </c>
      <c r="U77" s="160">
        <f>SUM(R77:T77)</f>
        <v>0</v>
      </c>
    </row>
    <row r="78" spans="2:21" ht="12.75">
      <c r="B78" s="126" t="s">
        <v>292</v>
      </c>
      <c r="C78" s="154"/>
      <c r="D78" s="154"/>
      <c r="E78" s="158"/>
      <c r="F78" s="158"/>
      <c r="G78" s="154"/>
      <c r="H78" s="154"/>
      <c r="I78" s="154"/>
      <c r="J78" s="154"/>
      <c r="K78" s="158"/>
      <c r="L78" s="158"/>
      <c r="M78" s="158"/>
      <c r="N78" s="158"/>
      <c r="O78" s="158"/>
      <c r="P78" s="159"/>
      <c r="Q78" s="155"/>
      <c r="R78" s="154">
        <f>C78+D78+G78+H78+I78+J78</f>
        <v>0</v>
      </c>
      <c r="S78" s="154">
        <f>E78+K78+L78+M78</f>
        <v>0</v>
      </c>
      <c r="T78" s="159">
        <f>P78</f>
        <v>0</v>
      </c>
      <c r="U78" s="160">
        <f>SUM(R78:T78)</f>
        <v>0</v>
      </c>
    </row>
    <row r="79" spans="3:21" ht="12.75">
      <c r="C79" s="161">
        <f aca="true" t="shared" si="10" ref="C79:P79">SUM(C77:C78)</f>
        <v>0</v>
      </c>
      <c r="D79" s="161">
        <f t="shared" si="10"/>
        <v>0</v>
      </c>
      <c r="E79" s="162">
        <f t="shared" si="10"/>
        <v>0</v>
      </c>
      <c r="F79" s="162"/>
      <c r="G79" s="161">
        <f t="shared" si="10"/>
        <v>0</v>
      </c>
      <c r="H79" s="161">
        <f t="shared" si="10"/>
        <v>0</v>
      </c>
      <c r="I79" s="161">
        <f t="shared" si="10"/>
        <v>0</v>
      </c>
      <c r="J79" s="161">
        <f t="shared" si="10"/>
        <v>0</v>
      </c>
      <c r="K79" s="162">
        <f t="shared" si="10"/>
        <v>0</v>
      </c>
      <c r="L79" s="162">
        <f t="shared" si="10"/>
        <v>0</v>
      </c>
      <c r="M79" s="162">
        <f t="shared" si="10"/>
        <v>0</v>
      </c>
      <c r="N79" s="162"/>
      <c r="O79" s="162"/>
      <c r="P79" s="181">
        <f t="shared" si="10"/>
        <v>0</v>
      </c>
      <c r="Q79" s="164"/>
      <c r="R79" s="182">
        <f>SUM(R77:R78)</f>
        <v>0</v>
      </c>
      <c r="S79" s="183">
        <f>SUM(S77:S78)</f>
        <v>0</v>
      </c>
      <c r="T79" s="181">
        <f>SUM(T77:T78)</f>
        <v>0</v>
      </c>
      <c r="U79" s="183">
        <f>SUM(U77:U78)</f>
        <v>0</v>
      </c>
    </row>
    <row r="80" spans="3:21" ht="12.75">
      <c r="C80" s="154"/>
      <c r="D80" s="154"/>
      <c r="E80" s="154"/>
      <c r="F80" s="154"/>
      <c r="G80" s="154"/>
      <c r="H80" s="154"/>
      <c r="I80" s="154"/>
      <c r="J80" s="154"/>
      <c r="K80" s="154"/>
      <c r="L80" s="154"/>
      <c r="M80" s="154"/>
      <c r="N80" s="154"/>
      <c r="O80" s="154"/>
      <c r="P80" s="154"/>
      <c r="Q80" s="155"/>
      <c r="R80" s="154"/>
      <c r="S80" s="156"/>
      <c r="T80" s="156"/>
      <c r="U80" s="157"/>
    </row>
    <row r="81" spans="1:21" ht="12.75">
      <c r="A81" s="1" t="s">
        <v>293</v>
      </c>
      <c r="C81" s="154"/>
      <c r="D81" s="154"/>
      <c r="E81" s="154"/>
      <c r="F81" s="154"/>
      <c r="G81" s="154"/>
      <c r="H81" s="154"/>
      <c r="I81" s="154"/>
      <c r="J81" s="154"/>
      <c r="K81" s="154"/>
      <c r="L81" s="154"/>
      <c r="M81" s="154"/>
      <c r="N81" s="154"/>
      <c r="O81" s="154"/>
      <c r="P81" s="154"/>
      <c r="Q81" s="155"/>
      <c r="R81" s="154"/>
      <c r="S81" s="156"/>
      <c r="T81" s="156"/>
      <c r="U81" s="157"/>
    </row>
    <row r="82" spans="2:21" ht="12.75">
      <c r="B82" s="126" t="s">
        <v>294</v>
      </c>
      <c r="C82" s="154"/>
      <c r="D82" s="154"/>
      <c r="E82" s="154"/>
      <c r="F82" s="154"/>
      <c r="G82" s="154"/>
      <c r="H82" s="154"/>
      <c r="I82" s="154"/>
      <c r="J82" s="154"/>
      <c r="K82" s="154"/>
      <c r="L82" s="154"/>
      <c r="M82" s="154"/>
      <c r="N82" s="154"/>
      <c r="O82" s="154"/>
      <c r="P82" s="154"/>
      <c r="Q82" s="155"/>
      <c r="R82" s="154"/>
      <c r="S82" s="154"/>
      <c r="T82" s="156"/>
      <c r="U82" s="160"/>
    </row>
    <row r="83" spans="2:21" ht="12.75">
      <c r="B83" s="126" t="s">
        <v>295</v>
      </c>
      <c r="C83" s="154"/>
      <c r="D83" s="154"/>
      <c r="E83" s="158"/>
      <c r="F83" s="158"/>
      <c r="G83" s="154"/>
      <c r="H83" s="154"/>
      <c r="I83" s="154"/>
      <c r="J83" s="154"/>
      <c r="K83" s="158"/>
      <c r="L83" s="158"/>
      <c r="M83" s="158"/>
      <c r="N83" s="158"/>
      <c r="O83" s="158"/>
      <c r="P83" s="159"/>
      <c r="Q83" s="155"/>
      <c r="R83" s="154">
        <f>C83+D83+G83+H83+I83+J83</f>
        <v>0</v>
      </c>
      <c r="S83" s="154">
        <f>E83+K83+L83+M83</f>
        <v>0</v>
      </c>
      <c r="T83" s="159">
        <f>P83</f>
        <v>0</v>
      </c>
      <c r="U83" s="160">
        <f>SUM(R83:T83)</f>
        <v>0</v>
      </c>
    </row>
    <row r="84" spans="2:21" ht="12.75">
      <c r="B84" s="126" t="s">
        <v>296</v>
      </c>
      <c r="C84" s="154"/>
      <c r="D84" s="154"/>
      <c r="E84" s="158"/>
      <c r="F84" s="158"/>
      <c r="G84" s="154"/>
      <c r="H84" s="154"/>
      <c r="I84" s="154"/>
      <c r="J84" s="154"/>
      <c r="K84" s="158"/>
      <c r="L84" s="158"/>
      <c r="M84" s="158"/>
      <c r="N84" s="158"/>
      <c r="O84" s="158"/>
      <c r="P84" s="154"/>
      <c r="Q84" s="155"/>
      <c r="R84" s="154">
        <f>C84+D84+G84+H84+I84+J84</f>
        <v>0</v>
      </c>
      <c r="S84" s="154">
        <f>E84+K84+L84+M84</f>
        <v>0</v>
      </c>
      <c r="T84" s="159">
        <f>P84</f>
        <v>0</v>
      </c>
      <c r="U84" s="160">
        <f>SUM(R84:T84)</f>
        <v>0</v>
      </c>
    </row>
    <row r="85" spans="3:21" ht="12.75">
      <c r="C85" s="161">
        <f aca="true" t="shared" si="11" ref="C85:P85">SUM(C83:C84)</f>
        <v>0</v>
      </c>
      <c r="D85" s="161">
        <f t="shared" si="11"/>
        <v>0</v>
      </c>
      <c r="E85" s="162">
        <f t="shared" si="11"/>
        <v>0</v>
      </c>
      <c r="F85" s="162"/>
      <c r="G85" s="161">
        <f t="shared" si="11"/>
        <v>0</v>
      </c>
      <c r="H85" s="161">
        <f t="shared" si="11"/>
        <v>0</v>
      </c>
      <c r="I85" s="161">
        <f t="shared" si="11"/>
        <v>0</v>
      </c>
      <c r="J85" s="161">
        <f t="shared" si="11"/>
        <v>0</v>
      </c>
      <c r="K85" s="162">
        <f t="shared" si="11"/>
        <v>0</v>
      </c>
      <c r="L85" s="162">
        <f t="shared" si="11"/>
        <v>0</v>
      </c>
      <c r="M85" s="162">
        <f t="shared" si="11"/>
        <v>0</v>
      </c>
      <c r="N85" s="162"/>
      <c r="O85" s="162"/>
      <c r="P85" s="163">
        <f t="shared" si="11"/>
        <v>0</v>
      </c>
      <c r="Q85" s="164"/>
      <c r="R85" s="161">
        <f>SUM(R83:R84)</f>
        <v>0</v>
      </c>
      <c r="S85" s="165">
        <f>SUM(S83:S84)</f>
        <v>0</v>
      </c>
      <c r="T85" s="163">
        <f>SUM(T83:T84)</f>
        <v>0</v>
      </c>
      <c r="U85" s="165">
        <f>SUM(U83:U84)</f>
        <v>0</v>
      </c>
    </row>
    <row r="86" spans="3:21" ht="12.75">
      <c r="C86" s="154"/>
      <c r="D86" s="154"/>
      <c r="E86" s="154"/>
      <c r="F86" s="154"/>
      <c r="G86" s="154"/>
      <c r="H86" s="154"/>
      <c r="I86" s="154"/>
      <c r="J86" s="154"/>
      <c r="K86" s="154"/>
      <c r="L86" s="154"/>
      <c r="M86" s="154"/>
      <c r="N86" s="154"/>
      <c r="O86" s="154"/>
      <c r="P86" s="154"/>
      <c r="Q86" s="154"/>
      <c r="R86" s="154"/>
      <c r="S86" s="156"/>
      <c r="T86" s="156"/>
      <c r="U86" s="157"/>
    </row>
    <row r="87" spans="1:21" ht="12.75">
      <c r="A87" s="1" t="s">
        <v>297</v>
      </c>
      <c r="C87" s="154"/>
      <c r="D87" s="154"/>
      <c r="E87" s="154"/>
      <c r="F87" s="154"/>
      <c r="G87" s="154"/>
      <c r="H87" s="154"/>
      <c r="I87" s="154"/>
      <c r="J87" s="154"/>
      <c r="K87" s="154"/>
      <c r="L87" s="154"/>
      <c r="M87" s="154"/>
      <c r="N87" s="154"/>
      <c r="O87" s="154"/>
      <c r="P87" s="154"/>
      <c r="Q87" s="154"/>
      <c r="R87" s="154"/>
      <c r="S87" s="156"/>
      <c r="T87" s="156"/>
      <c r="U87" s="157"/>
    </row>
    <row r="88" spans="2:21" ht="12.75">
      <c r="B88" s="126" t="s">
        <v>298</v>
      </c>
      <c r="C88" s="154"/>
      <c r="D88" s="154"/>
      <c r="E88" s="154"/>
      <c r="F88" s="154"/>
      <c r="G88" s="154"/>
      <c r="H88" s="154"/>
      <c r="I88" s="154"/>
      <c r="J88" s="154"/>
      <c r="K88" s="154"/>
      <c r="L88" s="154"/>
      <c r="M88" s="154"/>
      <c r="N88" s="154"/>
      <c r="O88" s="154"/>
      <c r="P88" s="154"/>
      <c r="Q88" s="154"/>
      <c r="R88" s="154"/>
      <c r="S88" s="156"/>
      <c r="T88" s="156"/>
      <c r="U88" s="157"/>
    </row>
    <row r="89" spans="2:21" ht="12.75">
      <c r="B89" s="126" t="s">
        <v>299</v>
      </c>
      <c r="C89" s="154"/>
      <c r="D89" s="154"/>
      <c r="E89" s="158"/>
      <c r="F89" s="158"/>
      <c r="G89" s="154"/>
      <c r="H89" s="154"/>
      <c r="I89" s="154"/>
      <c r="J89" s="154"/>
      <c r="K89" s="158"/>
      <c r="L89" s="158"/>
      <c r="M89" s="158"/>
      <c r="N89" s="158"/>
      <c r="O89" s="158"/>
      <c r="P89" s="154"/>
      <c r="Q89" s="154"/>
      <c r="R89" s="154">
        <f>C89+D89+G89+H89+I89+J89</f>
        <v>0</v>
      </c>
      <c r="S89" s="154">
        <f>E89+K89+L89+M89</f>
        <v>0</v>
      </c>
      <c r="T89" s="180">
        <f>P89</f>
        <v>0</v>
      </c>
      <c r="U89" s="160">
        <f>SUM(R89:T89)</f>
        <v>0</v>
      </c>
    </row>
    <row r="90" spans="2:21" ht="12.75">
      <c r="B90" s="126" t="s">
        <v>300</v>
      </c>
      <c r="C90" s="154"/>
      <c r="D90" s="154"/>
      <c r="E90" s="158"/>
      <c r="F90" s="158"/>
      <c r="G90" s="154"/>
      <c r="H90" s="154"/>
      <c r="I90" s="154"/>
      <c r="J90" s="154"/>
      <c r="K90" s="158"/>
      <c r="L90" s="158"/>
      <c r="M90" s="158"/>
      <c r="N90" s="158"/>
      <c r="O90" s="158"/>
      <c r="P90" s="154"/>
      <c r="Q90" s="154"/>
      <c r="R90" s="154">
        <f aca="true" t="shared" si="12" ref="R90:R100">C90+D90+G90+H90+I90+J90</f>
        <v>0</v>
      </c>
      <c r="S90" s="154">
        <f aca="true" t="shared" si="13" ref="S90:S100">E90+K90+L90+M90</f>
        <v>0</v>
      </c>
      <c r="T90" s="180">
        <f aca="true" t="shared" si="14" ref="T90:T100">P90</f>
        <v>0</v>
      </c>
      <c r="U90" s="160">
        <f aca="true" t="shared" si="15" ref="U90:U100">SUM(R90:T90)</f>
        <v>0</v>
      </c>
    </row>
    <row r="91" spans="2:21" ht="12.75">
      <c r="B91" s="126" t="s">
        <v>301</v>
      </c>
      <c r="C91" s="154"/>
      <c r="D91" s="154"/>
      <c r="E91" s="158"/>
      <c r="F91" s="158"/>
      <c r="G91" s="154"/>
      <c r="H91" s="154"/>
      <c r="I91" s="154"/>
      <c r="J91" s="154"/>
      <c r="K91" s="158"/>
      <c r="L91" s="158"/>
      <c r="M91" s="158"/>
      <c r="N91" s="158"/>
      <c r="O91" s="158"/>
      <c r="P91" s="154"/>
      <c r="Q91" s="154"/>
      <c r="R91" s="154">
        <f t="shared" si="12"/>
        <v>0</v>
      </c>
      <c r="S91" s="154">
        <f t="shared" si="13"/>
        <v>0</v>
      </c>
      <c r="T91" s="180">
        <f t="shared" si="14"/>
        <v>0</v>
      </c>
      <c r="U91" s="160">
        <f t="shared" si="15"/>
        <v>0</v>
      </c>
    </row>
    <row r="92" spans="2:21" ht="12.75">
      <c r="B92" s="126" t="s">
        <v>302</v>
      </c>
      <c r="C92" s="157"/>
      <c r="D92" s="157"/>
      <c r="E92" s="184"/>
      <c r="F92" s="184"/>
      <c r="G92" s="157"/>
      <c r="H92" s="157"/>
      <c r="I92" s="157"/>
      <c r="J92" s="157"/>
      <c r="K92" s="184"/>
      <c r="L92" s="184"/>
      <c r="M92" s="184"/>
      <c r="N92" s="184"/>
      <c r="O92" s="184"/>
      <c r="P92" s="157"/>
      <c r="Q92" s="157"/>
      <c r="R92" s="154">
        <f t="shared" si="12"/>
        <v>0</v>
      </c>
      <c r="S92" s="154">
        <f t="shared" si="13"/>
        <v>0</v>
      </c>
      <c r="T92" s="180">
        <f t="shared" si="14"/>
        <v>0</v>
      </c>
      <c r="U92" s="160">
        <f t="shared" si="15"/>
        <v>0</v>
      </c>
    </row>
    <row r="93" spans="2:21" ht="12.75">
      <c r="B93" s="126" t="s">
        <v>299</v>
      </c>
      <c r="C93" s="157"/>
      <c r="D93" s="154"/>
      <c r="E93" s="184"/>
      <c r="F93" s="184"/>
      <c r="G93" s="157"/>
      <c r="H93" s="154"/>
      <c r="I93" s="154"/>
      <c r="J93" s="157"/>
      <c r="K93" s="158"/>
      <c r="L93" s="158"/>
      <c r="M93" s="158"/>
      <c r="N93" s="158"/>
      <c r="O93" s="158"/>
      <c r="P93" s="154"/>
      <c r="Q93" s="157"/>
      <c r="R93" s="154">
        <f t="shared" si="12"/>
        <v>0</v>
      </c>
      <c r="S93" s="154">
        <f t="shared" si="13"/>
        <v>0</v>
      </c>
      <c r="T93" s="180">
        <f t="shared" si="14"/>
        <v>0</v>
      </c>
      <c r="U93" s="160">
        <f t="shared" si="15"/>
        <v>0</v>
      </c>
    </row>
    <row r="94" spans="2:21" ht="12.75">
      <c r="B94" s="126" t="s">
        <v>303</v>
      </c>
      <c r="C94" s="157"/>
      <c r="D94" s="157"/>
      <c r="E94" s="184"/>
      <c r="F94" s="184"/>
      <c r="G94" s="157"/>
      <c r="H94" s="157"/>
      <c r="I94" s="157"/>
      <c r="J94" s="157"/>
      <c r="K94" s="158"/>
      <c r="L94" s="158"/>
      <c r="M94" s="158"/>
      <c r="N94" s="158"/>
      <c r="O94" s="158"/>
      <c r="P94" s="154"/>
      <c r="Q94" s="157"/>
      <c r="R94" s="154">
        <f t="shared" si="12"/>
        <v>0</v>
      </c>
      <c r="S94" s="154">
        <f t="shared" si="13"/>
        <v>0</v>
      </c>
      <c r="T94" s="180">
        <f t="shared" si="14"/>
        <v>0</v>
      </c>
      <c r="U94" s="160">
        <f t="shared" si="15"/>
        <v>0</v>
      </c>
    </row>
    <row r="95" spans="2:21" ht="12.75">
      <c r="B95" s="126" t="s">
        <v>300</v>
      </c>
      <c r="C95" s="154"/>
      <c r="D95" s="154"/>
      <c r="E95" s="158"/>
      <c r="F95" s="158"/>
      <c r="G95" s="154"/>
      <c r="H95" s="154"/>
      <c r="I95" s="154"/>
      <c r="J95" s="154"/>
      <c r="K95" s="158"/>
      <c r="L95" s="158"/>
      <c r="M95" s="158"/>
      <c r="N95" s="158"/>
      <c r="O95" s="158"/>
      <c r="P95" s="154"/>
      <c r="Q95" s="154"/>
      <c r="R95" s="154">
        <f t="shared" si="12"/>
        <v>0</v>
      </c>
      <c r="S95" s="154">
        <f t="shared" si="13"/>
        <v>0</v>
      </c>
      <c r="T95" s="156">
        <f t="shared" si="14"/>
        <v>0</v>
      </c>
      <c r="U95" s="160">
        <f t="shared" si="15"/>
        <v>0</v>
      </c>
    </row>
    <row r="96" spans="2:21" ht="12.75">
      <c r="B96" s="126" t="s">
        <v>301</v>
      </c>
      <c r="C96" s="154"/>
      <c r="D96" s="154"/>
      <c r="E96" s="158"/>
      <c r="F96" s="158"/>
      <c r="G96" s="154"/>
      <c r="H96" s="154"/>
      <c r="I96" s="154"/>
      <c r="J96" s="154"/>
      <c r="K96" s="158"/>
      <c r="L96" s="158"/>
      <c r="M96" s="158"/>
      <c r="N96" s="158"/>
      <c r="O96" s="158"/>
      <c r="P96" s="154"/>
      <c r="Q96" s="154"/>
      <c r="R96" s="154">
        <f t="shared" si="12"/>
        <v>0</v>
      </c>
      <c r="S96" s="154">
        <f t="shared" si="13"/>
        <v>0</v>
      </c>
      <c r="T96" s="156">
        <f t="shared" si="14"/>
        <v>0</v>
      </c>
      <c r="U96" s="160">
        <f t="shared" si="15"/>
        <v>0</v>
      </c>
    </row>
    <row r="97" spans="2:21" ht="12.75">
      <c r="B97" s="126" t="s">
        <v>304</v>
      </c>
      <c r="C97" s="154"/>
      <c r="D97" s="154"/>
      <c r="E97" s="158"/>
      <c r="F97" s="158"/>
      <c r="G97" s="154"/>
      <c r="H97" s="154"/>
      <c r="I97" s="154"/>
      <c r="J97" s="154"/>
      <c r="K97" s="158"/>
      <c r="L97" s="158"/>
      <c r="M97" s="158"/>
      <c r="N97" s="158"/>
      <c r="O97" s="158"/>
      <c r="P97" s="154"/>
      <c r="Q97" s="154"/>
      <c r="R97" s="154">
        <f t="shared" si="12"/>
        <v>0</v>
      </c>
      <c r="S97" s="154">
        <f t="shared" si="13"/>
        <v>0</v>
      </c>
      <c r="T97" s="156">
        <f t="shared" si="14"/>
        <v>0</v>
      </c>
      <c r="U97" s="160">
        <f t="shared" si="15"/>
        <v>0</v>
      </c>
    </row>
    <row r="98" spans="2:21" ht="12.75">
      <c r="B98" s="126" t="s">
        <v>305</v>
      </c>
      <c r="C98" s="156"/>
      <c r="D98" s="185"/>
      <c r="E98" s="186"/>
      <c r="F98" s="186"/>
      <c r="G98" s="156"/>
      <c r="H98" s="156"/>
      <c r="I98" s="156"/>
      <c r="J98" s="156"/>
      <c r="K98" s="186"/>
      <c r="L98" s="186"/>
      <c r="M98" s="186"/>
      <c r="N98" s="186"/>
      <c r="O98" s="186"/>
      <c r="P98" s="156"/>
      <c r="Q98" s="156"/>
      <c r="R98" s="185">
        <f t="shared" si="12"/>
        <v>0</v>
      </c>
      <c r="S98" s="154">
        <f t="shared" si="13"/>
        <v>0</v>
      </c>
      <c r="T98" s="156">
        <f t="shared" si="14"/>
        <v>0</v>
      </c>
      <c r="U98" s="187">
        <f t="shared" si="15"/>
        <v>0</v>
      </c>
    </row>
    <row r="99" spans="2:21" ht="12.75">
      <c r="B99" s="126" t="s">
        <v>306</v>
      </c>
      <c r="C99" s="156"/>
      <c r="D99" s="156"/>
      <c r="E99" s="186"/>
      <c r="F99" s="186"/>
      <c r="G99" s="156"/>
      <c r="H99" s="156"/>
      <c r="I99" s="156"/>
      <c r="J99" s="156"/>
      <c r="K99" s="186"/>
      <c r="L99" s="186"/>
      <c r="M99" s="186"/>
      <c r="N99" s="186"/>
      <c r="O99" s="186"/>
      <c r="P99" s="156"/>
      <c r="Q99" s="156"/>
      <c r="R99" s="154">
        <f t="shared" si="12"/>
        <v>0</v>
      </c>
      <c r="S99" s="154">
        <f t="shared" si="13"/>
        <v>0</v>
      </c>
      <c r="T99" s="156">
        <f t="shared" si="14"/>
        <v>0</v>
      </c>
      <c r="U99" s="160">
        <f t="shared" si="15"/>
        <v>0</v>
      </c>
    </row>
    <row r="100" spans="2:21" ht="12.75">
      <c r="B100" s="126" t="s">
        <v>307</v>
      </c>
      <c r="C100" s="156"/>
      <c r="D100" s="154"/>
      <c r="E100" s="158"/>
      <c r="F100" s="158"/>
      <c r="G100" s="156"/>
      <c r="H100" s="156"/>
      <c r="I100" s="156"/>
      <c r="J100" s="156"/>
      <c r="K100" s="186"/>
      <c r="L100" s="186"/>
      <c r="M100" s="186"/>
      <c r="N100" s="186"/>
      <c r="O100" s="186"/>
      <c r="P100" s="156"/>
      <c r="Q100" s="156"/>
      <c r="R100" s="154">
        <f t="shared" si="12"/>
        <v>0</v>
      </c>
      <c r="S100" s="154">
        <f t="shared" si="13"/>
        <v>0</v>
      </c>
      <c r="T100" s="156">
        <f t="shared" si="14"/>
        <v>0</v>
      </c>
      <c r="U100" s="160">
        <f t="shared" si="15"/>
        <v>0</v>
      </c>
    </row>
    <row r="101" spans="3:21" ht="12.75">
      <c r="C101" s="188">
        <f aca="true" t="shared" si="16" ref="C101:U101">SUM(C88:C100)</f>
        <v>0</v>
      </c>
      <c r="D101" s="188">
        <f t="shared" si="16"/>
        <v>0</v>
      </c>
      <c r="E101" s="189">
        <f t="shared" si="16"/>
        <v>0</v>
      </c>
      <c r="F101" s="189"/>
      <c r="G101" s="188">
        <f t="shared" si="16"/>
        <v>0</v>
      </c>
      <c r="H101" s="188">
        <f t="shared" si="16"/>
        <v>0</v>
      </c>
      <c r="I101" s="188">
        <f t="shared" si="16"/>
        <v>0</v>
      </c>
      <c r="J101" s="188">
        <f t="shared" si="16"/>
        <v>0</v>
      </c>
      <c r="K101" s="189">
        <f t="shared" si="16"/>
        <v>0</v>
      </c>
      <c r="L101" s="189">
        <f t="shared" si="16"/>
        <v>0</v>
      </c>
      <c r="M101" s="189">
        <f t="shared" si="16"/>
        <v>0</v>
      </c>
      <c r="N101" s="189"/>
      <c r="O101" s="189"/>
      <c r="P101" s="188">
        <f t="shared" si="16"/>
        <v>0</v>
      </c>
      <c r="Q101" s="188">
        <f t="shared" si="16"/>
        <v>0</v>
      </c>
      <c r="R101" s="188">
        <f t="shared" si="16"/>
        <v>0</v>
      </c>
      <c r="S101" s="188">
        <f t="shared" si="16"/>
        <v>0</v>
      </c>
      <c r="T101" s="188">
        <f t="shared" si="16"/>
        <v>0</v>
      </c>
      <c r="U101" s="188">
        <f t="shared" si="16"/>
        <v>0</v>
      </c>
    </row>
  </sheetData>
  <mergeCells count="4">
    <mergeCell ref="R3:U3"/>
    <mergeCell ref="D4:E4"/>
    <mergeCell ref="R54:U54"/>
    <mergeCell ref="D55:E55"/>
  </mergeCells>
  <printOptions/>
  <pageMargins left="0.75" right="0.75" top="1" bottom="1" header="0.5" footer="0.5"/>
  <pageSetup horizontalDpi="600" verticalDpi="600" orientation="landscape" paperSize="9" scale="42"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Cheong Kok Yik</cp:lastModifiedBy>
  <cp:lastPrinted>2007-08-29T04:25:07Z</cp:lastPrinted>
  <dcterms:created xsi:type="dcterms:W3CDTF">2004-05-17T03:42:51Z</dcterms:created>
  <dcterms:modified xsi:type="dcterms:W3CDTF">2007-08-29T10:10:16Z</dcterms:modified>
  <cp:category/>
  <cp:version/>
  <cp:contentType/>
  <cp:contentStatus/>
</cp:coreProperties>
</file>